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Dropbox\climate-energy\investment mix\"/>
    </mc:Choice>
  </mc:AlternateContent>
  <xr:revisionPtr revIDLastSave="0" documentId="13_ncr:1_{8A3203CF-4519-4DC4-A145-7DC81D16E7B8}" xr6:coauthVersionLast="47" xr6:coauthVersionMax="47" xr10:uidLastSave="{00000000-0000-0000-0000-000000000000}"/>
  <bookViews>
    <workbookView xWindow="390" yWindow="390" windowWidth="23415" windowHeight="14190" xr2:uid="{478E9B97-B952-4838-B71D-7453D52C56C2}"/>
  </bookViews>
  <sheets>
    <sheet name="investment" sheetId="2" r:id="rId1"/>
    <sheet name="transition suisse" sheetId="3" r:id="rId2"/>
  </sheets>
  <definedNames>
    <definedName name="_xlchart.v1.0" hidden="1">investment!$T$19:$X$19</definedName>
    <definedName name="_xlchart.v1.1" hidden="1">investment!$T$29:$X$29</definedName>
    <definedName name="cap" localSheetId="1">#REF!</definedName>
    <definedName name="cap">investment!$D$7</definedName>
    <definedName name="currency">investment!$D$5</definedName>
    <definedName name="xrate">investment!$E$5</definedName>
    <definedName name="_xlnm.Print_Area" localSheetId="0">investment!$B$1:$P$58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2" l="1"/>
  <c r="AK43" i="2"/>
  <c r="AC43" i="2"/>
  <c r="B85" i="2"/>
  <c r="M8" i="2"/>
  <c r="P9" i="2"/>
  <c r="M20" i="2"/>
  <c r="E34" i="2"/>
  <c r="E33" i="2"/>
  <c r="E32" i="2"/>
  <c r="E30" i="2"/>
  <c r="E28" i="2"/>
  <c r="O9" i="2"/>
  <c r="M9" i="2"/>
  <c r="G9" i="2"/>
  <c r="K29" i="2"/>
  <c r="L25" i="2" s="1"/>
  <c r="M19" i="2"/>
  <c r="I27" i="2"/>
  <c r="I28" i="2"/>
  <c r="I22" i="2"/>
  <c r="I23" i="2"/>
  <c r="I24" i="2"/>
  <c r="I25" i="2"/>
  <c r="I26" i="2"/>
  <c r="I21" i="2"/>
  <c r="A30" i="3"/>
  <c r="A29" i="3"/>
  <c r="J23" i="3"/>
  <c r="A34" i="3"/>
  <c r="D5" i="3"/>
  <c r="F5" i="3"/>
  <c r="K6" i="3"/>
  <c r="L6" i="3" s="1"/>
  <c r="K7" i="3"/>
  <c r="K8" i="3"/>
  <c r="L8" i="3" s="1"/>
  <c r="D10" i="3"/>
  <c r="F10" i="3"/>
  <c r="K10" i="3"/>
  <c r="L10" i="3" s="1"/>
  <c r="K11" i="3"/>
  <c r="L11" i="3" s="1"/>
  <c r="D12" i="3"/>
  <c r="L12" i="3"/>
  <c r="G13" i="3"/>
  <c r="K13" i="3" s="1"/>
  <c r="L13" i="3" s="1"/>
  <c r="D14" i="3"/>
  <c r="F14" i="3"/>
  <c r="K14" i="3"/>
  <c r="L14" i="3" s="1"/>
  <c r="K15" i="3"/>
  <c r="L15" i="3" s="1"/>
  <c r="D16" i="3"/>
  <c r="F16" i="3"/>
  <c r="D17" i="3"/>
  <c r="F17" i="3"/>
  <c r="D18" i="3"/>
  <c r="F18" i="3"/>
  <c r="D19" i="3"/>
  <c r="F19" i="3"/>
  <c r="D20" i="3"/>
  <c r="F20" i="3"/>
  <c r="L24" i="2" l="1"/>
  <c r="L23" i="2"/>
  <c r="L22" i="2"/>
  <c r="L27" i="2"/>
  <c r="L26" i="2"/>
  <c r="L28" i="2"/>
  <c r="K22" i="3"/>
  <c r="L22" i="3" s="1"/>
  <c r="L7" i="3"/>
  <c r="K23" i="3" l="1"/>
  <c r="K25" i="3" s="1"/>
  <c r="L29" i="2"/>
  <c r="D27" i="2"/>
  <c r="E17" i="2"/>
  <c r="E16" i="2"/>
  <c r="E15" i="2"/>
  <c r="E14" i="2"/>
  <c r="Y13" i="2"/>
  <c r="E13" i="2"/>
  <c r="E12" i="2"/>
  <c r="Y11" i="2"/>
  <c r="E11" i="2"/>
  <c r="Y10" i="2"/>
  <c r="E10" i="2"/>
  <c r="Y9" i="2"/>
  <c r="D28" i="2" l="1"/>
  <c r="G16" i="2"/>
  <c r="T27" i="2" s="1"/>
  <c r="G15" i="2"/>
  <c r="T26" i="2" s="1"/>
  <c r="G11" i="2"/>
  <c r="T22" i="2" s="1"/>
  <c r="G12" i="2"/>
  <c r="T23" i="2" s="1"/>
  <c r="G13" i="2"/>
  <c r="T24" i="2" s="1"/>
  <c r="G14" i="2"/>
  <c r="T25" i="2" s="1"/>
  <c r="G17" i="2"/>
  <c r="T28" i="2" s="1"/>
  <c r="G10" i="2"/>
  <c r="T21" i="2" s="1"/>
  <c r="D29" i="2"/>
  <c r="J12" i="2"/>
  <c r="K12" i="2" s="1"/>
  <c r="J15" i="2"/>
  <c r="J16" i="2"/>
  <c r="J13" i="2"/>
  <c r="J17" i="2"/>
  <c r="J11" i="2"/>
  <c r="J14" i="2"/>
  <c r="K14" i="2" s="1"/>
  <c r="M14" i="2" s="1"/>
  <c r="J10" i="2"/>
  <c r="Q12" i="2" l="1"/>
  <c r="Q23" i="2" s="1"/>
  <c r="Q14" i="2"/>
  <c r="Q25" i="2" s="1"/>
  <c r="K15" i="2"/>
  <c r="M15" i="2" s="1"/>
  <c r="V26" i="2" s="1"/>
  <c r="M12" i="2"/>
  <c r="O12" i="2" s="1"/>
  <c r="W23" i="2" s="1"/>
  <c r="L12" i="2"/>
  <c r="L15" i="2"/>
  <c r="L14" i="2"/>
  <c r="K17" i="2"/>
  <c r="Q17" i="2" s="1"/>
  <c r="Q28" i="2" s="1"/>
  <c r="K13" i="2"/>
  <c r="M13" i="2" s="1"/>
  <c r="K11" i="2"/>
  <c r="Q11" i="2" s="1"/>
  <c r="Q22" i="2" s="1"/>
  <c r="K16" i="2"/>
  <c r="K10" i="2"/>
  <c r="Q10" i="2" s="1"/>
  <c r="Q21" i="2" s="1"/>
  <c r="D31" i="2"/>
  <c r="D32" i="2" s="1"/>
  <c r="O14" i="2"/>
  <c r="W25" i="2" s="1"/>
  <c r="V25" i="2"/>
  <c r="T29" i="2"/>
  <c r="L10" i="2" l="1"/>
  <c r="U21" i="2" s="1"/>
  <c r="Q13" i="2"/>
  <c r="Q24" i="2" s="1"/>
  <c r="V23" i="2"/>
  <c r="O15" i="2"/>
  <c r="W26" i="2" s="1"/>
  <c r="M16" i="2"/>
  <c r="O16" i="2" s="1"/>
  <c r="W27" i="2" s="1"/>
  <c r="Q16" i="2"/>
  <c r="Q27" i="2" s="1"/>
  <c r="Q15" i="2"/>
  <c r="Q26" i="2" s="1"/>
  <c r="F34" i="2"/>
  <c r="M17" i="2"/>
  <c r="O17" i="2" s="1"/>
  <c r="W28" i="2" s="1"/>
  <c r="D30" i="2"/>
  <c r="M11" i="2"/>
  <c r="O11" i="2" s="1"/>
  <c r="W22" i="2" s="1"/>
  <c r="M10" i="2"/>
  <c r="O10" i="2" s="1"/>
  <c r="W21" i="2" s="1"/>
  <c r="L16" i="2"/>
  <c r="U27" i="2" s="1"/>
  <c r="L13" i="2"/>
  <c r="U24" i="2" s="1"/>
  <c r="L17" i="2"/>
  <c r="U28" i="2" s="1"/>
  <c r="L11" i="2"/>
  <c r="U22" i="2" s="1"/>
  <c r="O13" i="2"/>
  <c r="W24" i="2" s="1"/>
  <c r="P14" i="2"/>
  <c r="U25" i="2"/>
  <c r="U26" i="2"/>
  <c r="P12" i="2"/>
  <c r="U23" i="2"/>
  <c r="V21" i="2" l="1"/>
  <c r="P15" i="2"/>
  <c r="M26" i="2" s="1"/>
  <c r="Q29" i="2"/>
  <c r="P13" i="2"/>
  <c r="M24" i="2" s="1"/>
  <c r="P10" i="2"/>
  <c r="M21" i="2" s="1"/>
  <c r="W29" i="2"/>
  <c r="P16" i="2"/>
  <c r="M27" i="2" s="1"/>
  <c r="P17" i="2"/>
  <c r="M28" i="2" s="1"/>
  <c r="V28" i="2"/>
  <c r="V27" i="2"/>
  <c r="V24" i="2"/>
  <c r="V22" i="2"/>
  <c r="D33" i="2"/>
  <c r="D34" i="2" s="1"/>
  <c r="B40" i="2" s="1"/>
  <c r="P11" i="2"/>
  <c r="U29" i="2"/>
  <c r="X26" i="2"/>
  <c r="M23" i="2"/>
  <c r="X23" i="2"/>
  <c r="M25" i="2"/>
  <c r="X25" i="2"/>
  <c r="X24" i="2" l="1"/>
  <c r="R29" i="2"/>
  <c r="R23" i="2"/>
  <c r="R22" i="2"/>
  <c r="R28" i="2"/>
  <c r="R21" i="2"/>
  <c r="R25" i="2"/>
  <c r="R24" i="2"/>
  <c r="R27" i="2"/>
  <c r="V29" i="2"/>
  <c r="R26" i="2"/>
  <c r="X21" i="2"/>
  <c r="X27" i="2"/>
  <c r="X28" i="2"/>
  <c r="M22" i="2"/>
  <c r="M29" i="2" s="1"/>
  <c r="B41" i="2" s="1"/>
  <c r="X22" i="2"/>
  <c r="X29" i="2" l="1"/>
  <c r="Y23" i="2" s="1"/>
  <c r="Y25" i="2" l="1"/>
  <c r="Y24" i="2"/>
  <c r="Y27" i="2"/>
  <c r="Y26" i="2"/>
  <c r="Y21" i="2"/>
  <c r="Y28" i="2"/>
  <c r="Y22" i="2"/>
  <c r="L25" i="3"/>
  <c r="L23" i="3"/>
  <c r="K24" i="3"/>
  <c r="L24" i="3" s="1"/>
</calcChain>
</file>

<file path=xl/sharedStrings.xml><?xml version="1.0" encoding="utf-8"?>
<sst xmlns="http://schemas.openxmlformats.org/spreadsheetml/2006/main" count="190" uniqueCount="167">
  <si>
    <t>What investments are needed to install an additional power generation capacity</t>
  </si>
  <si>
    <t>Investment calculation for delivering</t>
  </si>
  <si>
    <t>TWh per year</t>
  </si>
  <si>
    <t>Storage needs for compensating production intermitency</t>
  </si>
  <si>
    <t>Additional Power capacity needs</t>
  </si>
  <si>
    <t>Total investment</t>
  </si>
  <si>
    <t xml:space="preserve">Case </t>
  </si>
  <si>
    <t>Specific investment cost</t>
  </si>
  <si>
    <t>Investment</t>
  </si>
  <si>
    <t>Portion of capacity having to pass through storage</t>
  </si>
  <si>
    <t>Storage Power required</t>
  </si>
  <si>
    <t>Fouling factor (losses per year)</t>
  </si>
  <si>
    <r>
      <t xml:space="preserve">Additional Investment
</t>
    </r>
    <r>
      <rPr>
        <sz val="11"/>
        <color theme="1"/>
        <rFont val="Arial"/>
        <family val="2"/>
      </rPr>
      <t>(average over 20 years)</t>
    </r>
  </si>
  <si>
    <t>Mwe</t>
  </si>
  <si>
    <t>Final cost</t>
  </si>
  <si>
    <t>X-rate</t>
  </si>
  <si>
    <t>%</t>
  </si>
  <si>
    <t>GWe</t>
  </si>
  <si>
    <t>US$ per We</t>
  </si>
  <si>
    <t>Flamandville 3</t>
  </si>
  <si>
    <t>M EUR</t>
  </si>
  <si>
    <t>$/We</t>
  </si>
  <si>
    <t>PV industrial</t>
  </si>
  <si>
    <t>high (CL, E)</t>
  </si>
  <si>
    <t>Hinkley Point C</t>
  </si>
  <si>
    <t>M GBP</t>
  </si>
  <si>
    <t>low (CH, D)</t>
  </si>
  <si>
    <t>Olkiluoto 3</t>
  </si>
  <si>
    <t>PV individual</t>
  </si>
  <si>
    <t>Wind on shore</t>
  </si>
  <si>
    <t>Taishan 1 &amp; 2</t>
  </si>
  <si>
    <t>M US$</t>
  </si>
  <si>
    <t>Wind off shore</t>
  </si>
  <si>
    <t>Nuclear prototype</t>
  </si>
  <si>
    <t xml:space="preserve"> F, UK, FI</t>
  </si>
  <si>
    <t>Nuclear</t>
  </si>
  <si>
    <t>"West"</t>
  </si>
  <si>
    <t>"East"</t>
  </si>
  <si>
    <t xml:space="preserve">Delivery of </t>
  </si>
  <si>
    <t>Power Load Factor</t>
  </si>
  <si>
    <t>Portion passing through storage</t>
  </si>
  <si>
    <t xml:space="preserve">Storage Round Trip Efficieny </t>
  </si>
  <si>
    <t>Investment cost storage</t>
  </si>
  <si>
    <t>US$ perWe</t>
  </si>
  <si>
    <t>Fouling Factor</t>
  </si>
  <si>
    <t>Power capacity to install</t>
  </si>
  <si>
    <t>Storage power required</t>
  </si>
  <si>
    <t>Investment storage facility</t>
  </si>
  <si>
    <t>Total Investment</t>
  </si>
  <si>
    <t>Notes</t>
  </si>
  <si>
    <t xml:space="preserve">Intermittency makes needs for storage facility. </t>
  </si>
  <si>
    <t>To put these data in perpective:  The GDP of the World is 87 000 Mrd US$ per year. That of Switzerland is 752 Mrd US$ per year, or 0,86% of the World (source: World Bank. 2020, at current US$)</t>
  </si>
  <si>
    <t xml:space="preserve">Nuke history </t>
  </si>
  <si>
    <t>Specific investment costs include what is required to commission an entirely new power plant but nothing else (network, etc). They incur over a long planning and construction time.</t>
  </si>
  <si>
    <t>As a  portion of the generated power needs to pass through storage, the primary generation capacity must be increased to take the corresponding losses into account.</t>
  </si>
  <si>
    <t>The cost of electric current (US$ per kWh) will heavily depend of the total investment, i.e. of the interest rates and of the amortisation period over the life time of the system components.</t>
  </si>
  <si>
    <t>per year</t>
  </si>
  <si>
    <t>dont</t>
  </si>
  <si>
    <t>CAGR</t>
  </si>
  <si>
    <t>Croissance 2020-2050</t>
  </si>
  <si>
    <t>Capacté totale installée en 2050</t>
  </si>
  <si>
    <t>Sous-total</t>
  </si>
  <si>
    <t>Autres énergies renouvelables</t>
  </si>
  <si>
    <t>Déchets 4)</t>
  </si>
  <si>
    <t>Chaleur à distance</t>
  </si>
  <si>
    <t>Bois et charbon de bois</t>
  </si>
  <si>
    <t>Charbon et coke</t>
  </si>
  <si>
    <t>économies d'énergie</t>
  </si>
  <si>
    <t>PAC en partie</t>
  </si>
  <si>
    <t>Gaz</t>
  </si>
  <si>
    <t>nucléaire</t>
  </si>
  <si>
    <t>Electricité</t>
  </si>
  <si>
    <t>therm-&gt; élec.</t>
  </si>
  <si>
    <t>Carburants</t>
  </si>
  <si>
    <t>industrie autre</t>
  </si>
  <si>
    <t>industrie chauffage</t>
  </si>
  <si>
    <t>ménages chauffage</t>
  </si>
  <si>
    <t>Combustibles pétroliers</t>
  </si>
  <si>
    <t>Tjoule</t>
  </si>
  <si>
    <t xml:space="preserve">Total </t>
  </si>
  <si>
    <t>TWh</t>
  </si>
  <si>
    <t>η après</t>
  </si>
  <si>
    <r>
      <rPr>
        <sz val="11"/>
        <color theme="1"/>
        <rFont val="Calibri"/>
        <family val="2"/>
      </rPr>
      <t>η</t>
    </r>
    <r>
      <rPr>
        <sz val="11"/>
        <color theme="1"/>
        <rFont val="Segoe UI"/>
        <family val="2"/>
      </rPr>
      <t xml:space="preserve"> avant</t>
    </r>
  </si>
  <si>
    <t>conversion du vecteur</t>
  </si>
  <si>
    <t>à substituer</t>
  </si>
  <si>
    <t>Moyenne 2015-2019</t>
  </si>
  <si>
    <t>source: OFS et OFEN</t>
  </si>
  <si>
    <t>Consommation finale d'énergie en Suisse</t>
  </si>
  <si>
    <t>COP PAC</t>
  </si>
  <si>
    <t>Total des investissements à effectuer</t>
  </si>
  <si>
    <t xml:space="preserve">La feuille est protégée ; seuls les paramètres peuvent être modifiés dans les cellules colorées.		</t>
  </si>
  <si>
    <t>Dans la période considérée, il sera déjà nécessaire de réinvestir pour les installations PV ou éoliennes devenues obsolètes.</t>
  </si>
  <si>
    <t>accompagnés par énergie supplémentaire</t>
  </si>
  <si>
    <t>TJoule</t>
  </si>
  <si>
    <t xml:space="preserve">Round trip storage efficiency is the amount of energy that is delivered to the network in proportion to the energy used to load the storage. Pump Storage or Li Batteries are at approx 80%. </t>
  </si>
  <si>
    <r>
      <t xml:space="preserve">CECI EST UN CALCUL " AU DOS DE L'ENVELOPPE " QUI DONNE DES </t>
    </r>
    <r>
      <rPr>
        <b/>
        <sz val="11"/>
        <color theme="1"/>
        <rFont val="Arial"/>
        <family val="2"/>
      </rPr>
      <t>ORDRES DE GRANDEUR ±CORRECTS</t>
    </r>
    <r>
      <rPr>
        <sz val="11"/>
        <color theme="1"/>
        <rFont val="Arial"/>
        <family val="2"/>
      </rPr>
      <t xml:space="preserve"> QUI SONT SUFFISANTS POUR ANIMER TOUT DÉBAT.</t>
    </r>
  </si>
  <si>
    <t>TWh/a</t>
  </si>
  <si>
    <t>Tjoule/a</t>
  </si>
  <si>
    <t>Tous les combustibles fossiles ne seront pas remplacés par l'électricité, d'autres processus seront nécessaires (chimie, solaire thermique, biomasse, biogaz)</t>
  </si>
  <si>
    <t>Économies d'énergie: par optimistion ou abandon de l'activité. Le chiffre choisi ne repose sur aucune logique, il est arbitraire.</t>
  </si>
  <si>
    <t>pour une filière à hydrogène la demande électrique serait bien plus élevée car il y a une étape de plus (fabriquer l'hydrogène, rendement total 30-60%)</t>
  </si>
  <si>
    <t>Gaz: la combinaison chaleur-force est d'ores et déjà en partie optimisée.</t>
  </si>
  <si>
    <t>Dans la capacité installée totale en 2050, le nucléaire substitué n'est pas compté deux fois, mais il compte dans les investissements à réaliser.</t>
  </si>
  <si>
    <t>Tous les calculs sont dépendants de facteur estimés "au doigt mouillé" (cellules en jaune).</t>
  </si>
  <si>
    <t>TOUTEFOIS, NE PRENEZ PAS CES CALCULS COMME UNE SCIENCE EXACTE !   JOUEZ AVEC LES PARAMÈTRES POUR ÉTUDIER LEUR IMPACT.</t>
  </si>
  <si>
    <t xml:space="preserve">Generation power for storage losses </t>
  </si>
  <si>
    <t xml:space="preserve">Add investment power generation </t>
  </si>
  <si>
    <t>Add investment fouling</t>
  </si>
  <si>
    <t>Test your case!
Fill out the green cells with "your" parameter</t>
  </si>
  <si>
    <t>Total</t>
  </si>
  <si>
    <t>weight</t>
  </si>
  <si>
    <t>normalized</t>
  </si>
  <si>
    <t>Électrification nécessaire en vue de "net zéro carbone"</t>
  </si>
  <si>
    <t>Fouling</t>
  </si>
  <si>
    <r>
      <rPr>
        <b/>
        <sz val="12"/>
        <color theme="1"/>
        <rFont val="Arial"/>
        <family val="2"/>
      </rPr>
      <t>Make your mix!</t>
    </r>
    <r>
      <rPr>
        <sz val="11"/>
        <color theme="1"/>
        <rFont val="Arial"/>
        <family val="2"/>
      </rPr>
      <t xml:space="preserve">
Attribute a relative weight to the scenarios from the 
above yellow table to simulate a combined investment</t>
    </r>
  </si>
  <si>
    <t>Nominal Power needed</t>
  </si>
  <si>
    <t>US$/We</t>
  </si>
  <si>
    <t>Currency</t>
  </si>
  <si>
    <r>
      <t>All investment cost parameters must be entered in</t>
    </r>
    <r>
      <rPr>
        <b/>
        <sz val="11"/>
        <color theme="1"/>
        <rFont val="Arial"/>
        <family val="2"/>
      </rPr>
      <t xml:space="preserve"> US$ per We</t>
    </r>
  </si>
  <si>
    <t>Additional Investment for storage facility 
in US$/We</t>
  </si>
  <si>
    <r>
      <rPr>
        <b/>
        <sz val="11"/>
        <color theme="1"/>
        <rFont val="Arial"/>
        <family val="2"/>
      </rPr>
      <t>Power Load Factor</t>
    </r>
    <r>
      <rPr>
        <sz val="11"/>
        <color theme="1"/>
        <rFont val="Arial"/>
        <family val="2"/>
      </rPr>
      <t xml:space="preserve">
(average availabilty over time)</t>
    </r>
  </si>
  <si>
    <r>
      <rPr>
        <b/>
        <sz val="11"/>
        <color theme="1"/>
        <rFont val="Arial"/>
        <family val="2"/>
      </rPr>
      <t xml:space="preserve">Specific investment cost. </t>
    </r>
    <r>
      <rPr>
        <sz val="11"/>
        <color theme="1"/>
        <rFont val="Arial"/>
        <family val="2"/>
      </rPr>
      <t xml:space="preserve">
Must be entered in US dollars.</t>
    </r>
  </si>
  <si>
    <t>X-rate to USD</t>
  </si>
  <si>
    <t xml:space="preserve">high </t>
  </si>
  <si>
    <t>low</t>
  </si>
  <si>
    <t xml:space="preserve">Investments for grid improvements and import/export considerations are not included. </t>
  </si>
  <si>
    <t>The Power Load Factor (column D) is an average rate of use of the installed peak power capacity over one year. Day/night, clouds, winds, and repair/maintenance make it less than 100%. 
Thus the Nominal Power (We) to be installed is inversly proportional to this factor (column E).</t>
  </si>
  <si>
    <t>HOWEVER, DO NOT TAKE THESE CALCULATIONS AS EXACT SCIENCE!      PLAY WITH THE PARAMETER TO INVESTIGAT THEIR IMPACT.</t>
  </si>
  <si>
    <r>
      <t xml:space="preserve">Losses in storage and in transport to and from it, increase also the need for additional power and the kWh cost. 
The intermittently producing operator </t>
    </r>
    <r>
      <rPr>
        <b/>
        <sz val="10.5"/>
        <color theme="1"/>
        <rFont val="Arial"/>
        <family val="2"/>
      </rPr>
      <t>must</t>
    </r>
    <r>
      <rPr>
        <sz val="10.5"/>
        <color theme="1"/>
        <rFont val="Arial"/>
        <family val="2"/>
      </rPr>
      <t xml:space="preserve"> bear these costs and integrate them in his P&amp;L and Balance sheets.</t>
    </r>
  </si>
  <si>
    <r>
      <t xml:space="preserve">THIS IS A "BACK OF THE ENVELOPE" CALCULATION THAT GIVES </t>
    </r>
    <r>
      <rPr>
        <b/>
        <sz val="10.5"/>
        <color theme="1"/>
        <rFont val="Calibri"/>
        <family val="2"/>
      </rPr>
      <t>±</t>
    </r>
    <r>
      <rPr>
        <b/>
        <sz val="10.5"/>
        <color theme="1"/>
        <rFont val="Arial"/>
        <family val="2"/>
      </rPr>
      <t>CORRECT ORDERS OF MAGNITUDE</t>
    </r>
    <r>
      <rPr>
        <sz val="10.5"/>
        <color theme="1"/>
        <rFont val="Arial"/>
        <family val="2"/>
      </rPr>
      <t xml:space="preserve"> THAT ARE SUFFICIENT TO ANIMATE ANY DEBATE.</t>
    </r>
  </si>
  <si>
    <r>
      <t>Today's World electricity production amounts  26 800 TWh (10</t>
    </r>
    <r>
      <rPr>
        <vertAlign val="superscript"/>
        <sz val="11"/>
        <color theme="1"/>
        <rFont val="Arial"/>
        <family val="2"/>
      </rPr>
      <t>12</t>
    </r>
    <r>
      <rPr>
        <sz val="11"/>
        <color theme="1"/>
        <rFont val="Arial"/>
        <family val="2"/>
      </rPr>
      <t>) per year.
Decarbonation climate policies are calling for a general electrification of most if not all human activities.
The general need for new power plants to be realised as a substitution for the uses of fossil fuels will require to double the current capacity (or much more in countries with low electrification).
Thus, investments for new power plant capacity (We) will be required for 25 000 to 50 000 additional TWh/a by 2050 (not including other economic growth).</t>
    </r>
  </si>
  <si>
    <r>
      <t xml:space="preserve">In Switzerland, this energy transition will be aggravated by the decommissioning of 4 nuclear power plants at the end of their useful and safe operative life. 
They have a generation capacity of 3000 MWe (delivering 23 TWh/a)
Current generation is at 65 TWh/a (with  4 more used for pump-storage), or 0.26% of the World.
Until 2050, new capacity will </t>
    </r>
    <r>
      <rPr>
        <b/>
        <sz val="11"/>
        <color theme="1"/>
        <rFont val="Arial"/>
        <family val="2"/>
      </rPr>
      <t>need to have been installed</t>
    </r>
    <r>
      <rPr>
        <sz val="11"/>
        <color theme="1"/>
        <rFont val="Arial"/>
        <family val="2"/>
      </rPr>
      <t xml:space="preserve"> for a total of at least 60 TWh (see"transition" sheet)</t>
    </r>
  </si>
  <si>
    <t>Usually, such calculations are limited to a given nominal plant power (We). In this calculation, the objective is the supply to the grid to satisfy all demand of the consumers (TWh per year).</t>
  </si>
  <si>
    <r>
      <t xml:space="preserve">Thus, this approach takes into acount the </t>
    </r>
    <r>
      <rPr>
        <b/>
        <sz val="10.5"/>
        <color theme="1"/>
        <rFont val="Arial"/>
        <family val="2"/>
      </rPr>
      <t>required elements of a system that satisfies the demand</t>
    </r>
    <r>
      <rPr>
        <sz val="10.5"/>
        <color theme="1"/>
        <rFont val="Arial"/>
        <family val="2"/>
      </rPr>
      <t>, not just the usual narrow producer-centric view.
No PV or Wind farm can fully supply a population without additional equipment to compensate for their intemittency. It is irresponsible to "forget" these equipments in economic considerations.</t>
    </r>
  </si>
  <si>
    <t>In this calculation, the limiting factor is taken as the loading speed (power W), the cost of which entails also a corresponding storage capacity (energy Wh).</t>
  </si>
  <si>
    <t>The storage (in Wh) must never be full or empty. Otherwise it becomes useless.  Its size depends on what needs to be kept to avoid severe shortages over a short period of time (2.5 days?).</t>
  </si>
  <si>
    <r>
      <t>All intermittent prodution will not be required to pass through storage. The portion will depend on operating conditions of the network and of the market. This is an arbitrarily set parameter (</t>
    </r>
    <r>
      <rPr>
        <i/>
        <sz val="10.5"/>
        <color theme="1"/>
        <rFont val="Arial"/>
        <family val="2"/>
      </rPr>
      <t>fudge factor</t>
    </r>
    <r>
      <rPr>
        <sz val="10.5"/>
        <color theme="1"/>
        <rFont val="Arial"/>
        <family val="2"/>
      </rPr>
      <t xml:space="preserve">). </t>
    </r>
  </si>
  <si>
    <t xml:space="preserve">Fouling (columns N): over time, the nominal power, We or Wp, diminishes linearly (assumed over an equipment life of 20 year ), in particular due to loss of efficiency of PV cells or of wear and tear of wind turbines. </t>
  </si>
  <si>
    <t xml:space="preserve">The sheet is protected; parameters can only be changed in the dark colored cells. </t>
  </si>
  <si>
    <r>
      <t>Storage R</t>
    </r>
    <r>
      <rPr>
        <i/>
        <sz val="11"/>
        <color theme="1"/>
        <rFont val="Arial"/>
        <family val="2"/>
      </rPr>
      <t>ound Trip Efficiency</t>
    </r>
    <r>
      <rPr>
        <sz val="11"/>
        <color theme="1"/>
        <rFont val="Arial"/>
        <family val="2"/>
      </rPr>
      <t xml:space="preserve">
added GWe needed</t>
    </r>
  </si>
  <si>
    <t>Cell E10= +cap/8.766/D10</t>
  </si>
  <si>
    <t>Cell I10</t>
  </si>
  <si>
    <t>not all current produced must pass through storage.</t>
  </si>
  <si>
    <t>80% is a fudge factor, a wild guess.</t>
  </si>
  <si>
    <t xml:space="preserve">To estimate it is too complex and will be wrong until experimented. </t>
  </si>
  <si>
    <t>Cell J10 =+I10*E10</t>
  </si>
  <si>
    <t>the storage power required</t>
  </si>
  <si>
    <t>Cell K10 =+J10*(1/$K$9-1)</t>
  </si>
  <si>
    <t>Cell O10=+N10*10*(G10+M10)</t>
  </si>
  <si>
    <t>applied on all investment incl. storage (G10+M10)</t>
  </si>
  <si>
    <t>One could apply storage for this but it becomes ridiculous for this kind of rough estimate</t>
  </si>
  <si>
    <t>Formula Explanations</t>
  </si>
  <si>
    <r>
      <t xml:space="preserve">The </t>
    </r>
    <r>
      <rPr>
        <b/>
        <u/>
        <sz val="10.3"/>
        <color theme="1"/>
        <rFont val="Arial"/>
        <family val="2"/>
      </rPr>
      <t>additional</t>
    </r>
    <r>
      <rPr>
        <sz val="10.3"/>
        <color theme="1"/>
        <rFont val="Arial"/>
        <family val="2"/>
      </rPr>
      <t xml:space="preserve"> storage power required due to Round Trip Efficiency &lt;100%</t>
    </r>
  </si>
  <si>
    <t>Column Q</t>
  </si>
  <si>
    <t>To be reminded:</t>
  </si>
  <si>
    <t>Cell L1=(J10+K10)*$L$9*xrate</t>
  </si>
  <si>
    <t>Investment for storage facility</t>
  </si>
  <si>
    <t>Cell M10=+K10*F10*xrate</t>
  </si>
  <si>
    <t>Investment for additional primary generation power that needs to be increased to compense for storage losses.</t>
  </si>
  <si>
    <t>Investment for additional primary power for fouling over 20 years (thus the average power at 10 years)</t>
  </si>
  <si>
    <t>The primary power generation required, corrected for the Power Load Factor</t>
  </si>
  <si>
    <t>Total power GWe to be invested: primary + storage + additional primary for storage + additional primary for fouling</t>
  </si>
  <si>
    <t>Primary generation</t>
  </si>
  <si>
    <t>Storage Facility</t>
  </si>
  <si>
    <t>Primary  for Storage</t>
  </si>
  <si>
    <t>Total nominal Power to be installed</t>
  </si>
  <si>
    <t>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</si>
</sst>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0_-;\-* #,##0.0_-;_-* &quot;-&quot;??_-;_-@_-"/>
    <numFmt numFmtId="166" formatCode="0.0%"/>
    <numFmt numFmtId="167" formatCode="#,##0_ ;[Red]\-#,##0\ "/>
    <numFmt numFmtId="168" formatCode="#,##0.0_ ;[Red]\-#,##0.0\ "/>
    <numFmt numFmtId="169" formatCode="_*\ #,##0_-;* #,##0_-;_-* &quot;&quot;??_-;_-@_-"/>
    <numFmt numFmtId="170" formatCode="_-* #,##0.0\ _C_H_F_-;\-* #,##0.0\ _C_H_F_-;_-* &quot;-&quot;?\ _C_H_F_-;_-@_-"/>
  </numFmts>
  <fonts count="2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vertAlign val="superscript"/>
      <sz val="11"/>
      <color theme="1"/>
      <name val="Arial"/>
      <family val="2"/>
    </font>
    <font>
      <i/>
      <sz val="11"/>
      <color theme="1"/>
      <name val="Arial"/>
      <family val="2"/>
    </font>
    <font>
      <b/>
      <sz val="11"/>
      <color rgb="FFFFFF00"/>
      <name val="Arial"/>
      <family val="2"/>
    </font>
    <font>
      <b/>
      <sz val="16"/>
      <color theme="1"/>
      <name val="Arial"/>
      <family val="2"/>
    </font>
    <font>
      <sz val="11"/>
      <color theme="1"/>
      <name val="Segoe UI"/>
      <family val="2"/>
    </font>
    <font>
      <sz val="11"/>
      <color theme="1"/>
      <name val="Calibri"/>
      <family val="2"/>
    </font>
    <font>
      <b/>
      <sz val="11"/>
      <color theme="1"/>
      <name val="Segoe UI"/>
      <family val="2"/>
    </font>
    <font>
      <sz val="9"/>
      <color theme="1"/>
      <name val="Segoe UI"/>
      <family val="2"/>
    </font>
    <font>
      <b/>
      <sz val="17"/>
      <color theme="1"/>
      <name val="Segoe UI"/>
      <family val="2"/>
    </font>
    <font>
      <sz val="17"/>
      <color theme="1"/>
      <name val="Segoe UI"/>
      <family val="2"/>
    </font>
    <font>
      <b/>
      <sz val="12"/>
      <color theme="1"/>
      <name val="Arial"/>
      <family val="2"/>
    </font>
    <font>
      <b/>
      <sz val="11"/>
      <color theme="3"/>
      <name val="Trebuchet MS"/>
      <family val="2"/>
    </font>
    <font>
      <sz val="11"/>
      <color theme="0"/>
      <name val="Arial"/>
      <family val="2"/>
    </font>
    <font>
      <sz val="10"/>
      <color theme="1"/>
      <name val="Arial"/>
      <family val="2"/>
    </font>
    <font>
      <b/>
      <sz val="10.5"/>
      <color theme="1"/>
      <name val="Arial"/>
      <family val="2"/>
    </font>
    <font>
      <sz val="10.5"/>
      <color theme="1"/>
      <name val="Arial"/>
      <family val="2"/>
    </font>
    <font>
      <b/>
      <sz val="10.5"/>
      <color theme="1"/>
      <name val="Calibri"/>
      <family val="2"/>
    </font>
    <font>
      <i/>
      <sz val="10.5"/>
      <color theme="1"/>
      <name val="Arial"/>
      <family val="2"/>
    </font>
    <font>
      <sz val="10.3"/>
      <color theme="1"/>
      <name val="Arial"/>
      <family val="2"/>
    </font>
    <font>
      <b/>
      <u/>
      <sz val="10.3"/>
      <color theme="1"/>
      <name val="Arial"/>
      <family val="2"/>
    </font>
    <font>
      <b/>
      <sz val="10.3"/>
      <color theme="1"/>
      <name val="Arial"/>
      <family val="2"/>
    </font>
    <font>
      <b/>
      <sz val="14"/>
      <color theme="1"/>
      <name val="Trebuchet MS"/>
      <family val="2"/>
    </font>
    <font>
      <b/>
      <sz val="14"/>
      <color rgb="FFFF0000"/>
      <name val="Arial"/>
      <family val="2"/>
    </font>
  </fonts>
  <fills count="9">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249977111117893"/>
        <bgColor indexed="64"/>
      </patternFill>
    </fill>
    <fill>
      <patternFill patternType="solid">
        <fgColor rgb="FFFFFFCC"/>
        <bgColor indexed="64"/>
      </patternFill>
    </fill>
    <fill>
      <patternFill patternType="solid">
        <fgColor theme="7" tint="0.39997558519241921"/>
        <bgColor indexed="64"/>
      </patternFill>
    </fill>
  </fills>
  <borders count="1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horizontal="right" wrapText="1"/>
    </xf>
    <xf numFmtId="164" fontId="2" fillId="0" borderId="0" xfId="1" applyNumberFormat="1" applyFont="1" applyAlignment="1">
      <alignment vertical="center"/>
    </xf>
    <xf numFmtId="165" fontId="2" fillId="0" borderId="0" xfId="1" applyNumberFormat="1" applyFont="1" applyAlignment="1">
      <alignment vertical="center"/>
    </xf>
    <xf numFmtId="164" fontId="2" fillId="0" borderId="0" xfId="1" applyNumberFormat="1" applyFont="1"/>
    <xf numFmtId="164" fontId="2" fillId="0" borderId="0" xfId="1" applyNumberFormat="1" applyFont="1" applyAlignment="1">
      <alignment horizontal="center" vertical="center"/>
    </xf>
    <xf numFmtId="164" fontId="2" fillId="0" borderId="0" xfId="0" applyNumberFormat="1" applyFont="1"/>
    <xf numFmtId="165" fontId="2" fillId="0" borderId="0" xfId="1" applyNumberFormat="1" applyFont="1"/>
    <xf numFmtId="9" fontId="2" fillId="0" borderId="0" xfId="2" applyFont="1" applyAlignment="1">
      <alignment horizontal="center"/>
    </xf>
    <xf numFmtId="0" fontId="2" fillId="0" borderId="0" xfId="0" applyFont="1" applyAlignment="1">
      <alignment horizontal="center"/>
    </xf>
    <xf numFmtId="0" fontId="3" fillId="0" borderId="0" xfId="0" applyFont="1"/>
    <xf numFmtId="9" fontId="6" fillId="3" borderId="0" xfId="2" applyFont="1" applyFill="1" applyBorder="1" applyAlignment="1" applyProtection="1">
      <alignment horizontal="center" vertical="center"/>
      <protection locked="0"/>
    </xf>
    <xf numFmtId="166" fontId="6" fillId="3" borderId="0" xfId="2" applyNumberFormat="1" applyFont="1" applyFill="1" applyBorder="1" applyAlignment="1" applyProtection="1">
      <alignment horizontal="center" vertical="center"/>
      <protection locked="0"/>
    </xf>
    <xf numFmtId="0" fontId="2" fillId="0" borderId="0" xfId="0" applyFont="1" applyAlignment="1">
      <alignment horizontal="right"/>
    </xf>
    <xf numFmtId="0" fontId="7" fillId="0" borderId="0" xfId="0" applyFont="1" applyAlignment="1">
      <alignment vertical="center"/>
    </xf>
    <xf numFmtId="0" fontId="8" fillId="0" borderId="0" xfId="0" applyFont="1"/>
    <xf numFmtId="167" fontId="8" fillId="0" borderId="0" xfId="1" applyNumberFormat="1" applyFont="1"/>
    <xf numFmtId="164" fontId="8" fillId="0" borderId="0" xfId="0" applyNumberFormat="1" applyFont="1"/>
    <xf numFmtId="168" fontId="8" fillId="0" borderId="0" xfId="1" applyNumberFormat="1" applyFont="1"/>
    <xf numFmtId="9" fontId="8" fillId="0" borderId="0" xfId="2" applyFont="1"/>
    <xf numFmtId="9" fontId="8" fillId="0" borderId="0" xfId="0" applyNumberFormat="1" applyFont="1"/>
    <xf numFmtId="166" fontId="8" fillId="0" borderId="0" xfId="2" applyNumberFormat="1" applyFont="1"/>
    <xf numFmtId="164" fontId="8" fillId="0" borderId="0" xfId="1" applyNumberFormat="1" applyFont="1"/>
    <xf numFmtId="0" fontId="8" fillId="0" borderId="0" xfId="0" applyFont="1" applyAlignment="1">
      <alignment horizontal="left" indent="1"/>
    </xf>
    <xf numFmtId="0" fontId="8" fillId="0" borderId="0" xfId="0" applyFont="1" applyAlignment="1">
      <alignment horizontal="center"/>
    </xf>
    <xf numFmtId="0" fontId="8" fillId="0" borderId="0" xfId="0" applyFont="1" applyAlignment="1">
      <alignment horizontal="right"/>
    </xf>
    <xf numFmtId="167" fontId="8" fillId="0" borderId="0" xfId="1" applyNumberFormat="1" applyFont="1" applyAlignment="1">
      <alignment horizontal="right"/>
    </xf>
    <xf numFmtId="0" fontId="10" fillId="0" borderId="0" xfId="0" applyFont="1"/>
    <xf numFmtId="0" fontId="11" fillId="0" borderId="0" xfId="0" applyFont="1"/>
    <xf numFmtId="167" fontId="10" fillId="0" borderId="0" xfId="1" applyNumberFormat="1" applyFont="1"/>
    <xf numFmtId="164" fontId="10" fillId="0" borderId="0" xfId="0" applyNumberFormat="1" applyFont="1"/>
    <xf numFmtId="167" fontId="10" fillId="0" borderId="0" xfId="0" applyNumberFormat="1" applyFont="1"/>
    <xf numFmtId="43" fontId="10" fillId="0" borderId="0" xfId="1" applyFont="1"/>
    <xf numFmtId="164" fontId="8" fillId="2" borderId="0" xfId="0" applyNumberFormat="1" applyFont="1" applyFill="1" applyProtection="1">
      <protection locked="0"/>
    </xf>
    <xf numFmtId="9" fontId="8" fillId="2" borderId="0" xfId="0" applyNumberFormat="1" applyFont="1" applyFill="1" applyProtection="1">
      <protection locked="0"/>
    </xf>
    <xf numFmtId="9" fontId="8" fillId="2" borderId="0" xfId="2" applyFont="1" applyFill="1" applyProtection="1">
      <protection locked="0"/>
    </xf>
    <xf numFmtId="168" fontId="10" fillId="0" borderId="6" xfId="1" applyNumberFormat="1" applyFont="1" applyBorder="1"/>
    <xf numFmtId="167" fontId="10" fillId="0" borderId="0" xfId="1" applyNumberFormat="1" applyFont="1" applyAlignment="1">
      <alignment horizontal="right"/>
    </xf>
    <xf numFmtId="168" fontId="10" fillId="0" borderId="0" xfId="1" applyNumberFormat="1" applyFont="1" applyAlignment="1">
      <alignment horizontal="right"/>
    </xf>
    <xf numFmtId="0" fontId="8" fillId="0" borderId="0" xfId="0" applyFont="1" applyAlignment="1">
      <alignment horizontal="left" indent="2"/>
    </xf>
    <xf numFmtId="0" fontId="12" fillId="0" borderId="0" xfId="0" applyFont="1"/>
    <xf numFmtId="0" fontId="13" fillId="0" borderId="0" xfId="0" applyFont="1"/>
    <xf numFmtId="167" fontId="13" fillId="0" borderId="0" xfId="1" applyNumberFormat="1" applyFont="1"/>
    <xf numFmtId="0" fontId="2" fillId="4" borderId="2" xfId="0" applyFont="1" applyFill="1" applyBorder="1"/>
    <xf numFmtId="164" fontId="2" fillId="4" borderId="0" xfId="1" applyNumberFormat="1" applyFont="1" applyFill="1" applyBorder="1" applyAlignment="1">
      <alignment horizontal="center" vertical="top"/>
    </xf>
    <xf numFmtId="0" fontId="2" fillId="4" borderId="2" xfId="0" applyFont="1" applyFill="1" applyBorder="1" applyAlignment="1">
      <alignment horizontal="left" vertical="center"/>
    </xf>
    <xf numFmtId="0" fontId="3" fillId="4" borderId="3" xfId="0" applyFont="1" applyFill="1" applyBorder="1"/>
    <xf numFmtId="0" fontId="2" fillId="4" borderId="4" xfId="0" applyFont="1" applyFill="1" applyBorder="1"/>
    <xf numFmtId="164" fontId="3" fillId="4" borderId="4" xfId="0" applyNumberFormat="1" applyFont="1" applyFill="1" applyBorder="1" applyAlignment="1">
      <alignment horizontal="center" vertical="top"/>
    </xf>
    <xf numFmtId="0" fontId="3" fillId="4" borderId="5" xfId="0" applyFont="1" applyFill="1" applyBorder="1" applyAlignment="1">
      <alignment horizontal="left" vertical="center"/>
    </xf>
    <xf numFmtId="164" fontId="6" fillId="3" borderId="0" xfId="1" applyNumberFormat="1" applyFont="1" applyFill="1" applyBorder="1" applyAlignment="1" applyProtection="1">
      <alignment horizontal="center"/>
      <protection locked="0"/>
    </xf>
    <xf numFmtId="0" fontId="6" fillId="3" borderId="0" xfId="0" applyFont="1" applyFill="1" applyBorder="1" applyAlignment="1" applyProtection="1">
      <alignment horizontal="center" vertical="center"/>
      <protection locked="0"/>
    </xf>
    <xf numFmtId="9" fontId="6" fillId="3" borderId="0" xfId="0" applyNumberFormat="1" applyFont="1" applyFill="1" applyBorder="1" applyAlignment="1" applyProtection="1">
      <alignment horizontal="center"/>
      <protection locked="0"/>
    </xf>
    <xf numFmtId="0" fontId="6" fillId="3" borderId="0" xfId="0" applyFont="1" applyFill="1" applyBorder="1" applyAlignment="1" applyProtection="1">
      <alignment horizontal="center"/>
      <protection locked="0"/>
    </xf>
    <xf numFmtId="164" fontId="2" fillId="4" borderId="0" xfId="0" applyNumberFormat="1" applyFont="1" applyFill="1" applyBorder="1" applyAlignment="1">
      <alignment horizontal="center" vertical="top"/>
    </xf>
    <xf numFmtId="0" fontId="2" fillId="5" borderId="1" xfId="0" applyFont="1" applyFill="1" applyBorder="1"/>
    <xf numFmtId="0" fontId="2" fillId="5" borderId="0" xfId="0" applyFont="1" applyFill="1" applyBorder="1"/>
    <xf numFmtId="0" fontId="2" fillId="5" borderId="0" xfId="0" applyFont="1" applyFill="1" applyBorder="1" applyAlignment="1">
      <alignment horizontal="center"/>
    </xf>
    <xf numFmtId="0" fontId="3" fillId="5" borderId="2" xfId="0" applyFont="1" applyFill="1" applyBorder="1" applyAlignment="1">
      <alignment horizontal="right" vertical="center"/>
    </xf>
    <xf numFmtId="166" fontId="2" fillId="5" borderId="0" xfId="2" applyNumberFormat="1" applyFont="1" applyFill="1" applyBorder="1" applyAlignment="1">
      <alignment horizontal="center"/>
    </xf>
    <xf numFmtId="164" fontId="3" fillId="5" borderId="2" xfId="0" applyNumberFormat="1" applyFont="1" applyFill="1" applyBorder="1"/>
    <xf numFmtId="0" fontId="3" fillId="5" borderId="3" xfId="0" applyFont="1" applyFill="1" applyBorder="1"/>
    <xf numFmtId="0" fontId="2" fillId="5" borderId="4" xfId="0" applyFont="1" applyFill="1" applyBorder="1"/>
    <xf numFmtId="3" fontId="2" fillId="5" borderId="4" xfId="1" applyNumberFormat="1" applyFont="1" applyFill="1" applyBorder="1" applyAlignment="1">
      <alignment horizontal="center"/>
    </xf>
    <xf numFmtId="166" fontId="2" fillId="5" borderId="4" xfId="2" applyNumberFormat="1" applyFont="1" applyFill="1" applyBorder="1" applyAlignment="1">
      <alignment horizontal="center"/>
    </xf>
    <xf numFmtId="164" fontId="3" fillId="5" borderId="5" xfId="0" applyNumberFormat="1" applyFont="1" applyFill="1" applyBorder="1"/>
    <xf numFmtId="3" fontId="6" fillId="6" borderId="0" xfId="1" applyNumberFormat="1" applyFont="1" applyFill="1" applyBorder="1" applyAlignment="1" applyProtection="1">
      <alignment horizontal="center"/>
      <protection locked="0"/>
    </xf>
    <xf numFmtId="3" fontId="6" fillId="6" borderId="0" xfId="1" applyNumberFormat="1" applyFont="1" applyFill="1" applyBorder="1" applyAlignment="1" applyProtection="1">
      <alignment horizontal="center" vertical="center"/>
      <protection locked="0"/>
    </xf>
    <xf numFmtId="0" fontId="3" fillId="5" borderId="9" xfId="0" applyFont="1" applyFill="1" applyBorder="1" applyAlignment="1">
      <alignment horizontal="center" vertical="center" wrapText="1"/>
    </xf>
    <xf numFmtId="0" fontId="2" fillId="0" borderId="0" xfId="0" applyFont="1" applyBorder="1"/>
    <xf numFmtId="164" fontId="2" fillId="0" borderId="0" xfId="1" applyNumberFormat="1" applyFont="1" applyBorder="1"/>
    <xf numFmtId="164" fontId="3" fillId="5" borderId="0" xfId="0" applyNumberFormat="1" applyFont="1" applyFill="1" applyBorder="1"/>
    <xf numFmtId="169" fontId="3" fillId="5" borderId="0" xfId="0" applyNumberFormat="1" applyFont="1" applyFill="1" applyBorder="1"/>
    <xf numFmtId="0" fontId="2" fillId="0" borderId="0" xfId="0" applyFont="1" applyFill="1"/>
    <xf numFmtId="0" fontId="2" fillId="0" borderId="0" xfId="0" applyFont="1" applyFill="1" applyBorder="1"/>
    <xf numFmtId="0" fontId="2" fillId="5" borderId="0" xfId="0" applyFont="1" applyFill="1"/>
    <xf numFmtId="164" fontId="15" fillId="5" borderId="0" xfId="0" applyNumberFormat="1" applyFont="1" applyFill="1"/>
    <xf numFmtId="164" fontId="15" fillId="5" borderId="0" xfId="0" applyNumberFormat="1" applyFont="1" applyFill="1" applyAlignment="1">
      <alignment horizontal="left"/>
    </xf>
    <xf numFmtId="0" fontId="3" fillId="7" borderId="0" xfId="0" applyFont="1" applyFill="1" applyAlignment="1">
      <alignment horizontal="left" vertical="center"/>
    </xf>
    <xf numFmtId="0" fontId="3" fillId="7" borderId="0" xfId="0" applyFont="1" applyFill="1" applyAlignment="1">
      <alignment horizontal="center" vertical="center"/>
    </xf>
    <xf numFmtId="0" fontId="3" fillId="7" borderId="0" xfId="0" applyFont="1" applyFill="1" applyAlignment="1">
      <alignment vertical="center"/>
    </xf>
    <xf numFmtId="0" fontId="2" fillId="7" borderId="0" xfId="0" applyFont="1" applyFill="1" applyAlignment="1">
      <alignment wrapText="1"/>
    </xf>
    <xf numFmtId="0" fontId="3" fillId="7" borderId="0" xfId="0" applyFont="1" applyFill="1" applyAlignment="1">
      <alignment wrapText="1"/>
    </xf>
    <xf numFmtId="0" fontId="2" fillId="7" borderId="0" xfId="0" applyFont="1" applyFill="1" applyAlignment="1">
      <alignment horizontal="left" wrapText="1"/>
    </xf>
    <xf numFmtId="0" fontId="2" fillId="7" borderId="0" xfId="0" applyFont="1" applyFill="1" applyAlignment="1">
      <alignment vertical="center"/>
    </xf>
    <xf numFmtId="9" fontId="2" fillId="7" borderId="0" xfId="2" applyFont="1" applyFill="1" applyAlignment="1">
      <alignment horizontal="center" vertical="center"/>
    </xf>
    <xf numFmtId="0" fontId="3" fillId="7" borderId="0" xfId="0" applyFont="1" applyFill="1" applyAlignment="1">
      <alignment horizontal="right" vertical="center"/>
    </xf>
    <xf numFmtId="0" fontId="2" fillId="7" borderId="0" xfId="0" applyFont="1" applyFill="1" applyAlignment="1">
      <alignment horizontal="right" vertical="center"/>
    </xf>
    <xf numFmtId="0" fontId="2" fillId="7" borderId="0" xfId="0" applyFont="1" applyFill="1" applyAlignment="1">
      <alignment horizontal="center" vertical="center"/>
    </xf>
    <xf numFmtId="0" fontId="2" fillId="7" borderId="0" xfId="0" applyFont="1" applyFill="1"/>
    <xf numFmtId="165" fontId="3" fillId="7" borderId="0" xfId="1" applyNumberFormat="1" applyFont="1" applyFill="1"/>
    <xf numFmtId="164" fontId="2" fillId="7" borderId="0" xfId="1" applyNumberFormat="1" applyFont="1" applyFill="1"/>
    <xf numFmtId="164" fontId="2" fillId="7" borderId="0" xfId="1" applyNumberFormat="1" applyFont="1" applyFill="1" applyAlignment="1">
      <alignment vertical="center"/>
    </xf>
    <xf numFmtId="165" fontId="2" fillId="7" borderId="0" xfId="1" applyNumberFormat="1" applyFont="1" applyFill="1"/>
    <xf numFmtId="164" fontId="2" fillId="7" borderId="0" xfId="1" applyNumberFormat="1" applyFont="1" applyFill="1" applyAlignment="1">
      <alignment horizontal="center" vertical="center"/>
    </xf>
    <xf numFmtId="166" fontId="2" fillId="7" borderId="0" xfId="0" applyNumberFormat="1" applyFont="1" applyFill="1" applyAlignment="1" applyProtection="1">
      <alignment horizontal="center"/>
      <protection locked="0"/>
    </xf>
    <xf numFmtId="164" fontId="2" fillId="7" borderId="0" xfId="0" applyNumberFormat="1" applyFont="1" applyFill="1"/>
    <xf numFmtId="164" fontId="3" fillId="7" borderId="0" xfId="0" applyNumberFormat="1" applyFont="1" applyFill="1"/>
    <xf numFmtId="9" fontId="2" fillId="7" borderId="0" xfId="0" applyNumberFormat="1" applyFont="1" applyFill="1" applyAlignment="1" applyProtection="1">
      <alignment horizontal="center"/>
      <protection locked="0"/>
    </xf>
    <xf numFmtId="165" fontId="3" fillId="8" borderId="0" xfId="1" applyNumberFormat="1" applyFont="1" applyFill="1" applyAlignment="1" applyProtection="1">
      <alignment horizontal="center" vertical="center"/>
      <protection locked="0"/>
    </xf>
    <xf numFmtId="0" fontId="2" fillId="0" borderId="0" xfId="0" applyFont="1" applyAlignment="1">
      <alignment horizontal="left" vertical="top" wrapText="1"/>
    </xf>
    <xf numFmtId="0" fontId="3" fillId="7" borderId="0" xfId="0" applyFont="1" applyFill="1" applyAlignment="1">
      <alignment horizontal="center" vertical="center" wrapText="1"/>
    </xf>
    <xf numFmtId="0" fontId="16" fillId="0" borderId="0" xfId="0" applyFont="1"/>
    <xf numFmtId="0" fontId="3" fillId="8" borderId="0" xfId="0" applyFont="1" applyFill="1" applyAlignment="1" applyProtection="1">
      <alignment horizontal="center" vertical="center"/>
      <protection locked="0"/>
    </xf>
    <xf numFmtId="0" fontId="2" fillId="0" borderId="0" xfId="0" applyFont="1" applyFill="1" applyAlignment="1">
      <alignment horizontal="right"/>
    </xf>
    <xf numFmtId="0" fontId="2" fillId="0" borderId="0" xfId="0" applyFont="1" applyFill="1" applyAlignment="1" applyProtection="1">
      <alignment horizontal="right"/>
      <protection locked="0"/>
    </xf>
    <xf numFmtId="164" fontId="2" fillId="0" borderId="0" xfId="1" applyNumberFormat="1" applyFont="1" applyFill="1" applyAlignment="1">
      <alignment horizontal="right"/>
    </xf>
    <xf numFmtId="0" fontId="3" fillId="8" borderId="0" xfId="0" applyFont="1" applyFill="1" applyBorder="1" applyAlignment="1" applyProtection="1">
      <alignment horizontal="center"/>
      <protection locked="0"/>
    </xf>
    <xf numFmtId="166" fontId="2" fillId="0" borderId="0" xfId="2" applyNumberFormat="1" applyFont="1"/>
    <xf numFmtId="0" fontId="17" fillId="0" borderId="0" xfId="0" applyFont="1"/>
    <xf numFmtId="0" fontId="17" fillId="0" borderId="0" xfId="0" applyFont="1" applyFill="1"/>
    <xf numFmtId="0" fontId="17" fillId="5" borderId="0" xfId="0" applyFont="1" applyFill="1"/>
    <xf numFmtId="0" fontId="2" fillId="0" borderId="0"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left" vertical="top" wrapText="1"/>
    </xf>
    <xf numFmtId="0" fontId="18" fillId="0" borderId="0" xfId="0" applyFont="1"/>
    <xf numFmtId="0" fontId="19" fillId="0" borderId="0" xfId="0" applyFont="1"/>
    <xf numFmtId="0" fontId="19" fillId="0" borderId="0" xfId="0" applyFont="1" applyAlignment="1">
      <alignment horizontal="left" indent="3"/>
    </xf>
    <xf numFmtId="0" fontId="3" fillId="8" borderId="0" xfId="0" applyFont="1" applyFill="1" applyAlignment="1" applyProtection="1">
      <alignment horizontal="center"/>
      <protection locked="0"/>
    </xf>
    <xf numFmtId="9" fontId="3" fillId="8" borderId="0" xfId="2" applyFont="1" applyFill="1" applyAlignment="1">
      <alignment horizontal="center" vertical="center"/>
    </xf>
    <xf numFmtId="9" fontId="3" fillId="8" borderId="0" xfId="0" applyNumberFormat="1" applyFont="1" applyFill="1" applyAlignment="1">
      <alignment horizontal="center"/>
    </xf>
    <xf numFmtId="9" fontId="3" fillId="8" borderId="0" xfId="2" applyFont="1" applyFill="1" applyAlignment="1" applyProtection="1">
      <alignment horizontal="center"/>
      <protection locked="0"/>
    </xf>
    <xf numFmtId="9" fontId="3" fillId="8" borderId="0" xfId="0" applyNumberFormat="1" applyFont="1" applyFill="1" applyAlignment="1" applyProtection="1">
      <alignment vertical="center"/>
      <protection locked="0"/>
    </xf>
    <xf numFmtId="0" fontId="22" fillId="0" borderId="0" xfId="0" applyFont="1"/>
    <xf numFmtId="0" fontId="22" fillId="0" borderId="0" xfId="0" applyFont="1" applyAlignment="1">
      <alignment horizontal="left" indent="1"/>
    </xf>
    <xf numFmtId="0" fontId="24" fillId="0" borderId="0" xfId="0" applyFont="1"/>
    <xf numFmtId="0" fontId="2" fillId="0" borderId="0" xfId="0" applyFont="1" applyAlignment="1">
      <alignment horizontal="right" vertical="center"/>
    </xf>
    <xf numFmtId="165" fontId="2" fillId="4" borderId="0" xfId="1" applyNumberFormat="1" applyFont="1" applyFill="1" applyBorder="1" applyAlignment="1">
      <alignment horizontal="center" vertical="top"/>
    </xf>
    <xf numFmtId="0" fontId="22" fillId="0" borderId="0" xfId="0" applyFont="1" applyAlignment="1">
      <alignment horizontal="left"/>
    </xf>
    <xf numFmtId="170" fontId="2" fillId="0" borderId="0" xfId="0" applyNumberFormat="1" applyFont="1"/>
    <xf numFmtId="0" fontId="25" fillId="0" borderId="0" xfId="0" applyFont="1"/>
    <xf numFmtId="164" fontId="26" fillId="0" borderId="0" xfId="1" applyNumberFormat="1" applyFont="1"/>
    <xf numFmtId="0" fontId="19" fillId="0" borderId="0" xfId="0" applyFont="1" applyAlignment="1">
      <alignment horizontal="left" vertical="top" wrapText="1" indent="3"/>
    </xf>
    <xf numFmtId="0" fontId="2" fillId="0" borderId="0" xfId="0" applyFont="1" applyAlignment="1">
      <alignment horizontal="left" vertical="top" wrapText="1"/>
    </xf>
    <xf numFmtId="0" fontId="2" fillId="4" borderId="1" xfId="0" applyFont="1" applyFill="1" applyBorder="1" applyAlignment="1">
      <alignment horizontal="left"/>
    </xf>
    <xf numFmtId="0" fontId="2" fillId="4" borderId="0" xfId="0" applyFont="1" applyFill="1" applyBorder="1" applyAlignment="1">
      <alignment horizontal="left"/>
    </xf>
    <xf numFmtId="0" fontId="3" fillId="7" borderId="0" xfId="0" applyFont="1" applyFill="1" applyAlignment="1">
      <alignment horizontal="left" vertical="center" wrapText="1"/>
    </xf>
    <xf numFmtId="0" fontId="3" fillId="7"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2" fillId="5" borderId="7" xfId="0" applyFont="1" applyFill="1" applyBorder="1" applyAlignment="1">
      <alignment horizontal="center" wrapText="1"/>
    </xf>
    <xf numFmtId="0" fontId="2" fillId="5" borderId="8" xfId="0" applyFont="1" applyFill="1" applyBorder="1" applyAlignment="1">
      <alignment horizontal="center" wrapText="1"/>
    </xf>
    <xf numFmtId="0" fontId="19" fillId="0" borderId="0" xfId="0" applyFont="1" applyAlignment="1">
      <alignment horizontal="left" vertical="top" wrapText="1"/>
    </xf>
    <xf numFmtId="166" fontId="8" fillId="2" borderId="0" xfId="2" applyNumberFormat="1" applyFont="1" applyFill="1" applyProtection="1">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colors>
    <mruColors>
      <color rgb="FFFF00FF"/>
      <color rgb="FFCCE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Trebuchet MS" panose="020B0603020202020204" pitchFamily="34" charset="0"/>
                <a:ea typeface="+mn-ea"/>
                <a:cs typeface="+mn-cs"/>
              </a:defRPr>
            </a:pPr>
            <a:r>
              <a:rPr lang="fr-CH"/>
              <a:t>"POWER MIX"</a:t>
            </a:r>
          </a:p>
        </c:rich>
      </c:tx>
      <c:layout>
        <c:manualLayout>
          <c:xMode val="edge"/>
          <c:yMode val="edge"/>
          <c:x val="0.35765966754155726"/>
          <c:y val="0.11877394636015326"/>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Trebuchet MS" panose="020B0603020202020204" pitchFamily="34" charset="0"/>
              <a:ea typeface="+mn-ea"/>
              <a:cs typeface="+mn-cs"/>
            </a:defRPr>
          </a:pPr>
          <a:endParaRPr lang="fr-FR"/>
        </a:p>
      </c:txPr>
    </c:title>
    <c:autoTitleDeleted val="0"/>
    <c:plotArea>
      <c:layout/>
      <c:barChart>
        <c:barDir val="bar"/>
        <c:grouping val="stacked"/>
        <c:varyColors val="0"/>
        <c:ser>
          <c:idx val="0"/>
          <c:order val="0"/>
          <c:tx>
            <c:strRef>
              <c:f>investment!$I$21:$J$21</c:f>
              <c:strCache>
                <c:ptCount val="2"/>
                <c:pt idx="0">
                  <c:v>PV industrial</c:v>
                </c:pt>
                <c:pt idx="1">
                  <c:v>high </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investment!$Q$21</c:f>
              <c:numCache>
                <c:formatCode>_-* #\ ##0.0\ _C_H_F_-;\-* #\ ##0.0\ _C_H_F_-;_-* "-"?\ _C_H_F_-;_-@_-</c:formatCode>
                <c:ptCount val="1"/>
                <c:pt idx="0">
                  <c:v>0</c:v>
                </c:pt>
              </c:numCache>
            </c:numRef>
          </c:val>
          <c:extLst>
            <c:ext xmlns:c16="http://schemas.microsoft.com/office/drawing/2014/chart" uri="{C3380CC4-5D6E-409C-BE32-E72D297353CC}">
              <c16:uniqueId val="{00000000-F3CF-4FD0-8BDB-DD3F6C89A2B8}"/>
            </c:ext>
          </c:extLst>
        </c:ser>
        <c:ser>
          <c:idx val="1"/>
          <c:order val="1"/>
          <c:tx>
            <c:strRef>
              <c:f>investment!$I$22:$J$22</c:f>
              <c:strCache>
                <c:ptCount val="2"/>
                <c:pt idx="0">
                  <c:v>PV industrial</c:v>
                </c:pt>
                <c:pt idx="1">
                  <c:v>low</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investment!$Q$22</c:f>
              <c:numCache>
                <c:formatCode>_-* #\ ##0.0\ _C_H_F_-;\-* #\ ##0.0\ _C_H_F_-;_-* "-"?\ _C_H_F_-;_-@_-</c:formatCode>
                <c:ptCount val="1"/>
                <c:pt idx="0">
                  <c:v>58.801568041814456</c:v>
                </c:pt>
              </c:numCache>
            </c:numRef>
          </c:val>
          <c:extLst>
            <c:ext xmlns:c16="http://schemas.microsoft.com/office/drawing/2014/chart" uri="{C3380CC4-5D6E-409C-BE32-E72D297353CC}">
              <c16:uniqueId val="{00000001-F3CF-4FD0-8BDB-DD3F6C89A2B8}"/>
            </c:ext>
          </c:extLst>
        </c:ser>
        <c:ser>
          <c:idx val="2"/>
          <c:order val="2"/>
          <c:tx>
            <c:strRef>
              <c:f>investment!$I$23:$J$23</c:f>
              <c:strCache>
                <c:ptCount val="2"/>
                <c:pt idx="0">
                  <c:v>PV individual</c:v>
                </c:pt>
                <c:pt idx="1">
                  <c:v>low</c:v>
                </c:pt>
              </c:strCache>
            </c:strRef>
          </c:tx>
          <c:spPr>
            <a:solidFill>
              <a:srgbClr val="FFFF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investment!$Q$23</c:f>
              <c:numCache>
                <c:formatCode>_-* #\ ##0.0\ _C_H_F_-;\-* #\ ##0.0\ _C_H_F_-;_-* "-"?\ _C_H_F_-;_-@_-</c:formatCode>
                <c:ptCount val="1"/>
                <c:pt idx="0">
                  <c:v>62.476666044427866</c:v>
                </c:pt>
              </c:numCache>
            </c:numRef>
          </c:val>
          <c:extLst>
            <c:ext xmlns:c16="http://schemas.microsoft.com/office/drawing/2014/chart" uri="{C3380CC4-5D6E-409C-BE32-E72D297353CC}">
              <c16:uniqueId val="{00000002-F3CF-4FD0-8BDB-DD3F6C89A2B8}"/>
            </c:ext>
          </c:extLst>
        </c:ser>
        <c:ser>
          <c:idx val="3"/>
          <c:order val="3"/>
          <c:tx>
            <c:strRef>
              <c:f>investment!$I$24:$J$24</c:f>
              <c:strCache>
                <c:ptCount val="2"/>
                <c:pt idx="0">
                  <c:v>Wind on shore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investment!$Q$24</c:f>
              <c:numCache>
                <c:formatCode>_-* #\ ##0.0\ _C_H_F_-;\-* #\ ##0.0\ _C_H_F_-;_-* "-"?\ _C_H_F_-;_-@_-</c:formatCode>
                <c:ptCount val="1"/>
                <c:pt idx="0">
                  <c:v>6.0489390828199872</c:v>
                </c:pt>
              </c:numCache>
            </c:numRef>
          </c:val>
          <c:extLst>
            <c:ext xmlns:c16="http://schemas.microsoft.com/office/drawing/2014/chart" uri="{C3380CC4-5D6E-409C-BE32-E72D297353CC}">
              <c16:uniqueId val="{00000003-F3CF-4FD0-8BDB-DD3F6C89A2B8}"/>
            </c:ext>
          </c:extLst>
        </c:ser>
        <c:ser>
          <c:idx val="4"/>
          <c:order val="4"/>
          <c:tx>
            <c:strRef>
              <c:f>investment!$I$25:$J$25</c:f>
              <c:strCache>
                <c:ptCount val="2"/>
                <c:pt idx="0">
                  <c:v>Wind off shore</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investment!$Q$25</c:f>
              <c:numCache>
                <c:formatCode>_-* #\ ##0.0\ _C_H_F_-;\-* #\ ##0.0\ _C_H_F_-;_-* "-"?\ _C_H_F_-;_-@_-</c:formatCode>
                <c:ptCount val="1"/>
                <c:pt idx="0">
                  <c:v>0</c:v>
                </c:pt>
              </c:numCache>
            </c:numRef>
          </c:val>
          <c:extLst>
            <c:ext xmlns:c16="http://schemas.microsoft.com/office/drawing/2014/chart" uri="{C3380CC4-5D6E-409C-BE32-E72D297353CC}">
              <c16:uniqueId val="{00000004-F3CF-4FD0-8BDB-DD3F6C89A2B8}"/>
            </c:ext>
          </c:extLst>
        </c:ser>
        <c:ser>
          <c:idx val="5"/>
          <c:order val="5"/>
          <c:tx>
            <c:strRef>
              <c:f>investment!$I$26:$J$26</c:f>
              <c:strCache>
                <c:ptCount val="2"/>
                <c:pt idx="0">
                  <c:v>Nuclear prototype</c:v>
                </c:pt>
              </c:strCache>
            </c:strRef>
          </c:tx>
          <c:spPr>
            <a:solidFill>
              <a:srgbClr val="FF00FF"/>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investment!$Q$26</c:f>
              <c:numCache>
                <c:formatCode>_-* #\ ##0.0\ _C_H_F_-;\-* #\ ##0.0\ _C_H_F_-;_-* "-"?\ _C_H_F_-;_-@_-</c:formatCode>
                <c:ptCount val="1"/>
                <c:pt idx="0">
                  <c:v>0</c:v>
                </c:pt>
              </c:numCache>
            </c:numRef>
          </c:val>
          <c:extLst>
            <c:ext xmlns:c16="http://schemas.microsoft.com/office/drawing/2014/chart" uri="{C3380CC4-5D6E-409C-BE32-E72D297353CC}">
              <c16:uniqueId val="{00000005-F3CF-4FD0-8BDB-DD3F6C89A2B8}"/>
            </c:ext>
          </c:extLst>
        </c:ser>
        <c:ser>
          <c:idx val="6"/>
          <c:order val="6"/>
          <c:tx>
            <c:strRef>
              <c:f>investment!$I$27:$J$27</c:f>
              <c:strCache>
                <c:ptCount val="2"/>
                <c:pt idx="0">
                  <c:v>Nuclear</c:v>
                </c:pt>
                <c:pt idx="1">
                  <c:v>"West"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investment!$Q$27</c:f>
              <c:numCache>
                <c:formatCode>_-* #\ ##0.0\ _C_H_F_-;\-* #\ ##0.0\ _C_H_F_-;_-* "-"?\ _C_H_F_-;_-@_-</c:formatCode>
                <c:ptCount val="1"/>
                <c:pt idx="0">
                  <c:v>0</c:v>
                </c:pt>
              </c:numCache>
            </c:numRef>
          </c:val>
          <c:extLst>
            <c:ext xmlns:c16="http://schemas.microsoft.com/office/drawing/2014/chart" uri="{C3380CC4-5D6E-409C-BE32-E72D297353CC}">
              <c16:uniqueId val="{00000006-F3CF-4FD0-8BDB-DD3F6C89A2B8}"/>
            </c:ext>
          </c:extLst>
        </c:ser>
        <c:ser>
          <c:idx val="7"/>
          <c:order val="7"/>
          <c:tx>
            <c:strRef>
              <c:f>investment!$I$28:$J$28</c:f>
              <c:strCache>
                <c:ptCount val="2"/>
                <c:pt idx="0">
                  <c:v>Nuclear</c:v>
                </c:pt>
                <c:pt idx="1">
                  <c:v>"East"</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investment!$Q$28</c:f>
              <c:numCache>
                <c:formatCode>_-* #\ ##0.0\ _C_H_F_-;\-* #\ ##0.0\ _C_H_F_-;_-* "-"?\ _C_H_F_-;_-@_-</c:formatCode>
                <c:ptCount val="1"/>
                <c:pt idx="0">
                  <c:v>0</c:v>
                </c:pt>
              </c:numCache>
            </c:numRef>
          </c:val>
          <c:extLst>
            <c:ext xmlns:c16="http://schemas.microsoft.com/office/drawing/2014/chart" uri="{C3380CC4-5D6E-409C-BE32-E72D297353CC}">
              <c16:uniqueId val="{00000007-F3CF-4FD0-8BDB-DD3F6C89A2B8}"/>
            </c:ext>
          </c:extLst>
        </c:ser>
        <c:dLbls>
          <c:dLblPos val="inBase"/>
          <c:showLegendKey val="0"/>
          <c:showVal val="1"/>
          <c:showCatName val="0"/>
          <c:showSerName val="0"/>
          <c:showPercent val="0"/>
          <c:showBubbleSize val="0"/>
        </c:dLbls>
        <c:gapWidth val="150"/>
        <c:overlap val="100"/>
        <c:axId val="1187828784"/>
        <c:axId val="1187826288"/>
      </c:barChart>
      <c:catAx>
        <c:axId val="1187828784"/>
        <c:scaling>
          <c:orientation val="minMax"/>
        </c:scaling>
        <c:delete val="1"/>
        <c:axPos val="l"/>
        <c:numFmt formatCode="General" sourceLinked="1"/>
        <c:majorTickMark val="none"/>
        <c:minorTickMark val="none"/>
        <c:tickLblPos val="nextTo"/>
        <c:crossAx val="1187826288"/>
        <c:crosses val="autoZero"/>
        <c:auto val="1"/>
        <c:lblAlgn val="ctr"/>
        <c:lblOffset val="100"/>
        <c:noMultiLvlLbl val="0"/>
      </c:catAx>
      <c:valAx>
        <c:axId val="11878262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r>
                  <a:rPr lang="fr-CH"/>
                  <a:t>GWe</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title>
        <c:numFmt formatCode="#,##0" sourceLinked="0"/>
        <c:majorTickMark val="out"/>
        <c:minorTickMark val="none"/>
        <c:tickLblPos val="nextTo"/>
        <c:spPr>
          <a:noFill/>
          <a:ln>
            <a:solidFill>
              <a:sysClr val="windowText" lastClr="000000">
                <a:lumMod val="25000"/>
                <a:lumOff val="75000"/>
              </a:sysClr>
            </a:solidFill>
          </a:ln>
          <a:effectLst/>
        </c:spPr>
        <c:txPr>
          <a:bodyPr rot="-6000000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crossAx val="1187828784"/>
        <c:crosses val="autoZero"/>
        <c:crossBetween val="between"/>
      </c:valAx>
      <c:spPr>
        <a:noFill/>
        <a:ln>
          <a:noFill/>
        </a:ln>
        <a:effectLst/>
      </c:spPr>
    </c:plotArea>
    <c:legend>
      <c:legendPos val="b"/>
      <c:layout>
        <c:manualLayout>
          <c:xMode val="edge"/>
          <c:yMode val="edge"/>
          <c:x val="7.2581583552055989E-2"/>
          <c:y val="0.72366032108519196"/>
          <c:w val="0.77150328083989494"/>
          <c:h val="0.25122193537158438"/>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solidFill>
              <a:latin typeface="Trebuchet MS" panose="020B0603020202020204" pitchFamily="34"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1400">
          <a:solidFill>
            <a:schemeClr val="tx1"/>
          </a:solidFill>
          <a:latin typeface="Trebuchet MS" panose="020B0603020202020204" pitchFamily="34"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investment!$AC$43</c:f>
          <c:strCache>
            <c:ptCount val="1"/>
            <c:pt idx="0">
              <c:v>''SUPPLY MIX'' for 60 TWh/a</c:v>
            </c:pt>
          </c:strCache>
        </c:strRef>
      </c:tx>
      <c:layout>
        <c:manualLayout>
          <c:xMode val="edge"/>
          <c:yMode val="edge"/>
          <c:x val="0.15530555555555553"/>
          <c:y val="4.5905067531710475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Trebuchet MS" panose="020B0603020202020204" pitchFamily="34" charset="0"/>
              <a:ea typeface="+mn-ea"/>
              <a:cs typeface="+mn-cs"/>
            </a:defRPr>
          </a:pPr>
          <a:endParaRPr lang="fr-FR"/>
        </a:p>
      </c:txPr>
    </c:title>
    <c:autoTitleDeleted val="0"/>
    <c:plotArea>
      <c:layout>
        <c:manualLayout>
          <c:layoutTarget val="inner"/>
          <c:xMode val="edge"/>
          <c:yMode val="edge"/>
          <c:x val="3.0555555555555555E-2"/>
          <c:y val="4.604919649590996E-2"/>
          <c:w val="0.93888888888888888"/>
          <c:h val="0.45573772329080675"/>
        </c:manualLayout>
      </c:layout>
      <c:barChart>
        <c:barDir val="bar"/>
        <c:grouping val="stacked"/>
        <c:varyColors val="0"/>
        <c:ser>
          <c:idx val="0"/>
          <c:order val="0"/>
          <c:tx>
            <c:strRef>
              <c:f>investment!$I$21:$J$21</c:f>
              <c:strCache>
                <c:ptCount val="2"/>
                <c:pt idx="0">
                  <c:v>PV industrial</c:v>
                </c:pt>
                <c:pt idx="1">
                  <c:v>high </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investment!$L$21</c:f>
              <c:numCache>
                <c:formatCode>0.0%</c:formatCode>
                <c:ptCount val="1"/>
                <c:pt idx="0">
                  <c:v>0</c:v>
                </c:pt>
              </c:numCache>
            </c:numRef>
          </c:val>
          <c:extLst>
            <c:ext xmlns:c16="http://schemas.microsoft.com/office/drawing/2014/chart" uri="{C3380CC4-5D6E-409C-BE32-E72D297353CC}">
              <c16:uniqueId val="{00000000-4D61-4407-9FDE-07F6548A9ACB}"/>
            </c:ext>
          </c:extLst>
        </c:ser>
        <c:ser>
          <c:idx val="1"/>
          <c:order val="1"/>
          <c:tx>
            <c:strRef>
              <c:f>investment!$I$22:$J$22</c:f>
              <c:strCache>
                <c:ptCount val="2"/>
                <c:pt idx="0">
                  <c:v>PV industrial</c:v>
                </c:pt>
                <c:pt idx="1">
                  <c:v>low</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investment!$L$22</c:f>
              <c:numCache>
                <c:formatCode>0.0%</c:formatCode>
                <c:ptCount val="1"/>
                <c:pt idx="0">
                  <c:v>0.45</c:v>
                </c:pt>
              </c:numCache>
            </c:numRef>
          </c:val>
          <c:extLst>
            <c:ext xmlns:c16="http://schemas.microsoft.com/office/drawing/2014/chart" uri="{C3380CC4-5D6E-409C-BE32-E72D297353CC}">
              <c16:uniqueId val="{00000001-4D61-4407-9FDE-07F6548A9ACB}"/>
            </c:ext>
          </c:extLst>
        </c:ser>
        <c:ser>
          <c:idx val="2"/>
          <c:order val="2"/>
          <c:tx>
            <c:strRef>
              <c:f>investment!$I$23:$J$23</c:f>
              <c:strCache>
                <c:ptCount val="2"/>
                <c:pt idx="0">
                  <c:v>PV individual</c:v>
                </c:pt>
                <c:pt idx="1">
                  <c:v>low</c:v>
                </c:pt>
              </c:strCache>
            </c:strRef>
          </c:tx>
          <c:spPr>
            <a:solidFill>
              <a:srgbClr val="FFFF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investment!$L$23</c:f>
              <c:numCache>
                <c:formatCode>0.0%</c:formatCode>
                <c:ptCount val="1"/>
                <c:pt idx="0">
                  <c:v>0.45</c:v>
                </c:pt>
              </c:numCache>
            </c:numRef>
          </c:val>
          <c:extLst>
            <c:ext xmlns:c16="http://schemas.microsoft.com/office/drawing/2014/chart" uri="{C3380CC4-5D6E-409C-BE32-E72D297353CC}">
              <c16:uniqueId val="{00000002-4D61-4407-9FDE-07F6548A9ACB}"/>
            </c:ext>
          </c:extLst>
        </c:ser>
        <c:ser>
          <c:idx val="3"/>
          <c:order val="3"/>
          <c:tx>
            <c:strRef>
              <c:f>investment!$I$24:$J$24</c:f>
              <c:strCache>
                <c:ptCount val="2"/>
                <c:pt idx="0">
                  <c:v>Wind on shore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investment!$L$24</c:f>
              <c:numCache>
                <c:formatCode>0.0%</c:formatCode>
                <c:ptCount val="1"/>
                <c:pt idx="0">
                  <c:v>0.1</c:v>
                </c:pt>
              </c:numCache>
            </c:numRef>
          </c:val>
          <c:extLst>
            <c:ext xmlns:c16="http://schemas.microsoft.com/office/drawing/2014/chart" uri="{C3380CC4-5D6E-409C-BE32-E72D297353CC}">
              <c16:uniqueId val="{00000003-4D61-4407-9FDE-07F6548A9ACB}"/>
            </c:ext>
          </c:extLst>
        </c:ser>
        <c:ser>
          <c:idx val="4"/>
          <c:order val="4"/>
          <c:tx>
            <c:strRef>
              <c:f>investment!$I$25:$J$25</c:f>
              <c:strCache>
                <c:ptCount val="2"/>
                <c:pt idx="0">
                  <c:v>Wind off shore</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investment!$L$25</c:f>
              <c:numCache>
                <c:formatCode>0.0%</c:formatCode>
                <c:ptCount val="1"/>
                <c:pt idx="0">
                  <c:v>0</c:v>
                </c:pt>
              </c:numCache>
            </c:numRef>
          </c:val>
          <c:extLst>
            <c:ext xmlns:c16="http://schemas.microsoft.com/office/drawing/2014/chart" uri="{C3380CC4-5D6E-409C-BE32-E72D297353CC}">
              <c16:uniqueId val="{00000004-4D61-4407-9FDE-07F6548A9ACB}"/>
            </c:ext>
          </c:extLst>
        </c:ser>
        <c:ser>
          <c:idx val="5"/>
          <c:order val="5"/>
          <c:tx>
            <c:strRef>
              <c:f>investment!$I$26:$J$26</c:f>
              <c:strCache>
                <c:ptCount val="2"/>
                <c:pt idx="0">
                  <c:v>Nuclear prototype</c:v>
                </c:pt>
              </c:strCache>
            </c:strRef>
          </c:tx>
          <c:spPr>
            <a:solidFill>
              <a:srgbClr val="FF00FF"/>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investment!$L$26</c:f>
              <c:numCache>
                <c:formatCode>0.0%</c:formatCode>
                <c:ptCount val="1"/>
                <c:pt idx="0">
                  <c:v>0</c:v>
                </c:pt>
              </c:numCache>
            </c:numRef>
          </c:val>
          <c:extLst>
            <c:ext xmlns:c16="http://schemas.microsoft.com/office/drawing/2014/chart" uri="{C3380CC4-5D6E-409C-BE32-E72D297353CC}">
              <c16:uniqueId val="{00000005-4D61-4407-9FDE-07F6548A9ACB}"/>
            </c:ext>
          </c:extLst>
        </c:ser>
        <c:ser>
          <c:idx val="6"/>
          <c:order val="6"/>
          <c:tx>
            <c:strRef>
              <c:f>investment!$I$27:$J$27</c:f>
              <c:strCache>
                <c:ptCount val="2"/>
                <c:pt idx="0">
                  <c:v>Nuclear</c:v>
                </c:pt>
                <c:pt idx="1">
                  <c:v>"West"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investment!$L$27</c:f>
              <c:numCache>
                <c:formatCode>0.0%</c:formatCode>
                <c:ptCount val="1"/>
                <c:pt idx="0">
                  <c:v>0</c:v>
                </c:pt>
              </c:numCache>
            </c:numRef>
          </c:val>
          <c:extLst>
            <c:ext xmlns:c16="http://schemas.microsoft.com/office/drawing/2014/chart" uri="{C3380CC4-5D6E-409C-BE32-E72D297353CC}">
              <c16:uniqueId val="{00000006-4D61-4407-9FDE-07F6548A9ACB}"/>
            </c:ext>
          </c:extLst>
        </c:ser>
        <c:ser>
          <c:idx val="7"/>
          <c:order val="7"/>
          <c:tx>
            <c:strRef>
              <c:f>investment!$I$28:$J$28</c:f>
              <c:strCache>
                <c:ptCount val="2"/>
                <c:pt idx="0">
                  <c:v>Nuclear</c:v>
                </c:pt>
                <c:pt idx="1">
                  <c:v>"East"</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investment!$L$28</c:f>
              <c:numCache>
                <c:formatCode>0.0%</c:formatCode>
                <c:ptCount val="1"/>
                <c:pt idx="0">
                  <c:v>0</c:v>
                </c:pt>
              </c:numCache>
            </c:numRef>
          </c:val>
          <c:extLst>
            <c:ext xmlns:c16="http://schemas.microsoft.com/office/drawing/2014/chart" uri="{C3380CC4-5D6E-409C-BE32-E72D297353CC}">
              <c16:uniqueId val="{00000007-4D61-4407-9FDE-07F6548A9ACB}"/>
            </c:ext>
          </c:extLst>
        </c:ser>
        <c:dLbls>
          <c:dLblPos val="inBase"/>
          <c:showLegendKey val="0"/>
          <c:showVal val="1"/>
          <c:showCatName val="0"/>
          <c:showSerName val="0"/>
          <c:showPercent val="0"/>
          <c:showBubbleSize val="0"/>
        </c:dLbls>
        <c:gapWidth val="150"/>
        <c:overlap val="100"/>
        <c:axId val="1187828784"/>
        <c:axId val="1187826288"/>
      </c:barChart>
      <c:catAx>
        <c:axId val="1187828784"/>
        <c:scaling>
          <c:orientation val="minMax"/>
        </c:scaling>
        <c:delete val="1"/>
        <c:axPos val="l"/>
        <c:numFmt formatCode="General" sourceLinked="1"/>
        <c:majorTickMark val="none"/>
        <c:minorTickMark val="none"/>
        <c:tickLblPos val="nextTo"/>
        <c:crossAx val="1187826288"/>
        <c:crosses val="autoZero"/>
        <c:auto val="1"/>
        <c:lblAlgn val="ctr"/>
        <c:lblOffset val="100"/>
        <c:noMultiLvlLbl val="0"/>
      </c:catAx>
      <c:valAx>
        <c:axId val="1187826288"/>
        <c:scaling>
          <c:orientation val="minMax"/>
        </c:scaling>
        <c:delete val="1"/>
        <c:axPos val="b"/>
        <c:numFmt formatCode="#,##0" sourceLinked="0"/>
        <c:majorTickMark val="out"/>
        <c:minorTickMark val="none"/>
        <c:tickLblPos val="nextTo"/>
        <c:crossAx val="1187828784"/>
        <c:crosses val="autoZero"/>
        <c:crossBetween val="between"/>
      </c:valAx>
      <c:spPr>
        <a:noFill/>
        <a:ln>
          <a:noFill/>
        </a:ln>
        <a:effectLst/>
      </c:spPr>
    </c:plotArea>
    <c:legend>
      <c:legendPos val="b"/>
      <c:layout>
        <c:manualLayout>
          <c:xMode val="edge"/>
          <c:yMode val="edge"/>
          <c:x val="4.480380577427822E-2"/>
          <c:y val="0.44736514210973216"/>
          <c:w val="0.77705883639545059"/>
          <c:h val="0.25122193537158438"/>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solidFill>
              <a:latin typeface="Trebuchet MS" panose="020B0603020202020204" pitchFamily="34"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1400">
          <a:solidFill>
            <a:schemeClr val="tx1"/>
          </a:solidFill>
          <a:latin typeface="Trebuchet MS" panose="020B0603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investment!$AK$43</c:f>
          <c:strCache>
            <c:ptCount val="1"/>
            <c:pt idx="0">
              <c:v>''INVESTMENT MIX'' for 60 TWh/a</c:v>
            </c:pt>
          </c:strCache>
        </c:strRef>
      </c:tx>
      <c:layout>
        <c:manualLayout>
          <c:xMode val="edge"/>
          <c:yMode val="edge"/>
          <c:x val="0.11043744531933508"/>
          <c:y val="8.9945094701000219E-2"/>
        </c:manualLayout>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Trebuchet MS" panose="020B0603020202020204" pitchFamily="34" charset="0"/>
              <a:ea typeface="+mn-ea"/>
              <a:cs typeface="+mn-cs"/>
            </a:defRPr>
          </a:pPr>
          <a:endParaRPr lang="fr-FR"/>
        </a:p>
      </c:txPr>
    </c:title>
    <c:autoTitleDeleted val="0"/>
    <c:plotArea>
      <c:layout/>
      <c:barChart>
        <c:barDir val="bar"/>
        <c:grouping val="stacked"/>
        <c:varyColors val="0"/>
        <c:ser>
          <c:idx val="0"/>
          <c:order val="0"/>
          <c:tx>
            <c:strRef>
              <c:f>investment!$I$21:$J$21</c:f>
              <c:strCache>
                <c:ptCount val="2"/>
                <c:pt idx="0">
                  <c:v>PV industrial</c:v>
                </c:pt>
                <c:pt idx="1">
                  <c:v>high </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investment!$X$21</c:f>
              <c:numCache>
                <c:formatCode>_-* #\ ##0_-;\-* #\ ##0_-;_-* "-"??_-;_-@_-</c:formatCode>
                <c:ptCount val="1"/>
                <c:pt idx="0">
                  <c:v>0</c:v>
                </c:pt>
              </c:numCache>
            </c:numRef>
          </c:val>
          <c:extLst>
            <c:ext xmlns:c16="http://schemas.microsoft.com/office/drawing/2014/chart" uri="{C3380CC4-5D6E-409C-BE32-E72D297353CC}">
              <c16:uniqueId val="{00000000-C968-4167-B46E-ED51AD96CDDB}"/>
            </c:ext>
          </c:extLst>
        </c:ser>
        <c:ser>
          <c:idx val="1"/>
          <c:order val="1"/>
          <c:tx>
            <c:strRef>
              <c:f>investment!$I$22:$J$22</c:f>
              <c:strCache>
                <c:ptCount val="2"/>
                <c:pt idx="0">
                  <c:v>PV industrial</c:v>
                </c:pt>
                <c:pt idx="1">
                  <c:v>low</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investment!$X$22</c:f>
              <c:numCache>
                <c:formatCode>_-* #\ ##0_-;\-* #\ ##0_-;_-* "-"??_-;_-@_-</c:formatCode>
                <c:ptCount val="1"/>
                <c:pt idx="0">
                  <c:v>78.735299607989575</c:v>
                </c:pt>
              </c:numCache>
            </c:numRef>
          </c:val>
          <c:extLst>
            <c:ext xmlns:c16="http://schemas.microsoft.com/office/drawing/2014/chart" uri="{C3380CC4-5D6E-409C-BE32-E72D297353CC}">
              <c16:uniqueId val="{00000001-C968-4167-B46E-ED51AD96CDDB}"/>
            </c:ext>
          </c:extLst>
        </c:ser>
        <c:ser>
          <c:idx val="2"/>
          <c:order val="2"/>
          <c:tx>
            <c:strRef>
              <c:f>investment!$I$23:$J$23</c:f>
              <c:strCache>
                <c:ptCount val="2"/>
                <c:pt idx="0">
                  <c:v>PV individual</c:v>
                </c:pt>
                <c:pt idx="1">
                  <c:v>low</c:v>
                </c:pt>
              </c:strCache>
            </c:strRef>
          </c:tx>
          <c:spPr>
            <a:solidFill>
              <a:srgbClr val="FFFF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investment!$X$23</c:f>
              <c:numCache>
                <c:formatCode>_-* #\ ##0_-;\-* #\ ##0_-;_-* "-"??_-;_-@_-</c:formatCode>
                <c:ptCount val="1"/>
                <c:pt idx="0">
                  <c:v>132.72248926638045</c:v>
                </c:pt>
              </c:numCache>
            </c:numRef>
          </c:val>
          <c:extLst>
            <c:ext xmlns:c16="http://schemas.microsoft.com/office/drawing/2014/chart" uri="{C3380CC4-5D6E-409C-BE32-E72D297353CC}">
              <c16:uniqueId val="{00000002-C968-4167-B46E-ED51AD96CDDB}"/>
            </c:ext>
          </c:extLst>
        </c:ser>
        <c:ser>
          <c:idx val="3"/>
          <c:order val="3"/>
          <c:tx>
            <c:strRef>
              <c:f>investment!$I$24:$J$24</c:f>
              <c:strCache>
                <c:ptCount val="2"/>
                <c:pt idx="0">
                  <c:v>Wind on shore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investment!$X$24</c:f>
              <c:numCache>
                <c:formatCode>_-* #\ ##0_-;\-* #\ ##0_-;_-* "-"??_-;_-@_-</c:formatCode>
                <c:ptCount val="1"/>
                <c:pt idx="0">
                  <c:v>8.2287731006160154</c:v>
                </c:pt>
              </c:numCache>
            </c:numRef>
          </c:val>
          <c:extLst>
            <c:ext xmlns:c16="http://schemas.microsoft.com/office/drawing/2014/chart" uri="{C3380CC4-5D6E-409C-BE32-E72D297353CC}">
              <c16:uniqueId val="{00000003-C968-4167-B46E-ED51AD96CDDB}"/>
            </c:ext>
          </c:extLst>
        </c:ser>
        <c:ser>
          <c:idx val="4"/>
          <c:order val="4"/>
          <c:tx>
            <c:strRef>
              <c:f>investment!$I$25:$J$25</c:f>
              <c:strCache>
                <c:ptCount val="2"/>
                <c:pt idx="0">
                  <c:v>Wind off shore</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investment!$X$25</c:f>
              <c:numCache>
                <c:formatCode>_-* #\ ##0_-;\-* #\ ##0_-;_-* "-"??_-;_-@_-</c:formatCode>
                <c:ptCount val="1"/>
                <c:pt idx="0">
                  <c:v>0</c:v>
                </c:pt>
              </c:numCache>
            </c:numRef>
          </c:val>
          <c:extLst>
            <c:ext xmlns:c16="http://schemas.microsoft.com/office/drawing/2014/chart" uri="{C3380CC4-5D6E-409C-BE32-E72D297353CC}">
              <c16:uniqueId val="{00000004-C968-4167-B46E-ED51AD96CDDB}"/>
            </c:ext>
          </c:extLst>
        </c:ser>
        <c:ser>
          <c:idx val="5"/>
          <c:order val="5"/>
          <c:tx>
            <c:strRef>
              <c:f>investment!$I$26:$J$26</c:f>
              <c:strCache>
                <c:ptCount val="2"/>
                <c:pt idx="0">
                  <c:v>Nuclear prototype</c:v>
                </c:pt>
              </c:strCache>
            </c:strRef>
          </c:tx>
          <c:spPr>
            <a:solidFill>
              <a:srgbClr val="FF00FF"/>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investment!$X$26</c:f>
              <c:numCache>
                <c:formatCode>_-* #\ ##0_-;\-* #\ ##0_-;_-* "-"??_-;_-@_-</c:formatCode>
                <c:ptCount val="1"/>
                <c:pt idx="0">
                  <c:v>0</c:v>
                </c:pt>
              </c:numCache>
            </c:numRef>
          </c:val>
          <c:extLst>
            <c:ext xmlns:c16="http://schemas.microsoft.com/office/drawing/2014/chart" uri="{C3380CC4-5D6E-409C-BE32-E72D297353CC}">
              <c16:uniqueId val="{00000005-C968-4167-B46E-ED51AD96CDDB}"/>
            </c:ext>
          </c:extLst>
        </c:ser>
        <c:ser>
          <c:idx val="6"/>
          <c:order val="6"/>
          <c:tx>
            <c:strRef>
              <c:f>investment!$I$27:$J$27</c:f>
              <c:strCache>
                <c:ptCount val="2"/>
                <c:pt idx="0">
                  <c:v>Nuclear</c:v>
                </c:pt>
                <c:pt idx="1">
                  <c:v>"West"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investment!$X$27</c:f>
              <c:numCache>
                <c:formatCode>_-* #\ ##0_-;\-* #\ ##0_-;_-* "-"??_-;_-@_-</c:formatCode>
                <c:ptCount val="1"/>
                <c:pt idx="0">
                  <c:v>0</c:v>
                </c:pt>
              </c:numCache>
            </c:numRef>
          </c:val>
          <c:extLst>
            <c:ext xmlns:c16="http://schemas.microsoft.com/office/drawing/2014/chart" uri="{C3380CC4-5D6E-409C-BE32-E72D297353CC}">
              <c16:uniqueId val="{00000006-C968-4167-B46E-ED51AD96CDDB}"/>
            </c:ext>
          </c:extLst>
        </c:ser>
        <c:ser>
          <c:idx val="7"/>
          <c:order val="7"/>
          <c:tx>
            <c:strRef>
              <c:f>investment!$I$28:$J$28</c:f>
              <c:strCache>
                <c:ptCount val="2"/>
                <c:pt idx="0">
                  <c:v>Nuclear</c:v>
                </c:pt>
                <c:pt idx="1">
                  <c:v>"East"</c:v>
                </c:pt>
              </c:strCache>
            </c:strRef>
          </c:tx>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investment!$X$28</c:f>
              <c:numCache>
                <c:formatCode>_-* #\ ##0_-;\-* #\ ##0_-;_-* "-"??_-;_-@_-</c:formatCode>
                <c:ptCount val="1"/>
                <c:pt idx="0">
                  <c:v>0</c:v>
                </c:pt>
              </c:numCache>
            </c:numRef>
          </c:val>
          <c:extLst>
            <c:ext xmlns:c16="http://schemas.microsoft.com/office/drawing/2014/chart" uri="{C3380CC4-5D6E-409C-BE32-E72D297353CC}">
              <c16:uniqueId val="{00000007-C968-4167-B46E-ED51AD96CDDB}"/>
            </c:ext>
          </c:extLst>
        </c:ser>
        <c:dLbls>
          <c:dLblPos val="inBase"/>
          <c:showLegendKey val="0"/>
          <c:showVal val="1"/>
          <c:showCatName val="0"/>
          <c:showSerName val="0"/>
          <c:showPercent val="0"/>
          <c:showBubbleSize val="0"/>
        </c:dLbls>
        <c:gapWidth val="150"/>
        <c:overlap val="100"/>
        <c:axId val="1187828784"/>
        <c:axId val="1187826288"/>
      </c:barChart>
      <c:catAx>
        <c:axId val="1187828784"/>
        <c:scaling>
          <c:orientation val="minMax"/>
        </c:scaling>
        <c:delete val="1"/>
        <c:axPos val="l"/>
        <c:numFmt formatCode="General" sourceLinked="1"/>
        <c:majorTickMark val="none"/>
        <c:minorTickMark val="none"/>
        <c:tickLblPos val="nextTo"/>
        <c:crossAx val="1187826288"/>
        <c:crosses val="autoZero"/>
        <c:auto val="1"/>
        <c:lblAlgn val="ctr"/>
        <c:lblOffset val="100"/>
        <c:noMultiLvlLbl val="0"/>
      </c:catAx>
      <c:valAx>
        <c:axId val="1187826288"/>
        <c:scaling>
          <c:orientation val="minMax"/>
        </c:scaling>
        <c:delete val="0"/>
        <c:axPos val="b"/>
        <c:title>
          <c:tx>
            <c:strRef>
              <c:f>investment!$M$20</c:f>
              <c:strCache>
                <c:ptCount val="1"/>
                <c:pt idx="0">
                  <c:v>Mrd CHF</c:v>
                </c:pt>
              </c:strCache>
            </c:strRef>
          </c:tx>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title>
        <c:numFmt formatCode="#,##0" sourceLinked="0"/>
        <c:majorTickMark val="out"/>
        <c:minorTickMark val="none"/>
        <c:tickLblPos val="nextTo"/>
        <c:spPr>
          <a:noFill/>
          <a:ln>
            <a:solidFill>
              <a:sysClr val="windowText" lastClr="000000">
                <a:lumMod val="25000"/>
                <a:lumOff val="75000"/>
              </a:sysClr>
            </a:solidFill>
          </a:ln>
          <a:effectLst/>
        </c:spPr>
        <c:txPr>
          <a:bodyPr rot="-60000000" spcFirstLastPara="1" vertOverflow="ellipsis" vert="horz" wrap="square" anchor="ctr" anchorCtr="1"/>
          <a:lstStyle/>
          <a:p>
            <a:pPr>
              <a:defRPr sz="1400" b="0" i="0" u="none" strike="noStrike" kern="1200" baseline="0">
                <a:solidFill>
                  <a:schemeClr val="tx1"/>
                </a:solidFill>
                <a:latin typeface="Trebuchet MS" panose="020B0603020202020204" pitchFamily="34" charset="0"/>
                <a:ea typeface="+mn-ea"/>
                <a:cs typeface="+mn-cs"/>
              </a:defRPr>
            </a:pPr>
            <a:endParaRPr lang="fr-FR"/>
          </a:p>
        </c:txPr>
        <c:crossAx val="1187828784"/>
        <c:crosses val="autoZero"/>
        <c:crossBetween val="between"/>
      </c:valAx>
      <c:spPr>
        <a:noFill/>
        <a:ln>
          <a:noFill/>
        </a:ln>
        <a:effectLst/>
      </c:spPr>
    </c:plotArea>
    <c:legend>
      <c:legendPos val="b"/>
      <c:layout>
        <c:manualLayout>
          <c:xMode val="edge"/>
          <c:yMode val="edge"/>
          <c:x val="7.2581583552055989E-2"/>
          <c:y val="0.72366032108519196"/>
          <c:w val="0.77150328083989494"/>
          <c:h val="0.25122193537158438"/>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solidFill>
              <a:latin typeface="Trebuchet MS" panose="020B0603020202020204" pitchFamily="34"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1400">
          <a:solidFill>
            <a:schemeClr val="tx1"/>
          </a:solidFill>
          <a:latin typeface="Trebuchet MS" panose="020B0603020202020204" pitchFamily="34" charset="0"/>
        </a:defRPr>
      </a:pPr>
      <a:endParaRPr lang="fr-FR"/>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_xlchart.v1.0</cx:f>
      </cx:strDim>
      <cx:numDim type="val">
        <cx:f dir="row">_xlchart.v1.1</cx:f>
      </cx:numDim>
    </cx:data>
  </cx:chartData>
  <cx:chart>
    <cx:plotArea>
      <cx:plotAreaRegion>
        <cx:series layoutId="waterfall" uniqueId="{B294EA4D-EEBB-455A-B694-786599419CCE}">
          <cx:dataPt idx="1">
            <cx:spPr>
              <a:solidFill>
                <a:srgbClr val="ED7D31"/>
              </a:solidFill>
            </cx:spPr>
          </cx:dataPt>
          <cx:dataPt idx="2">
            <cx:spPr>
              <a:solidFill>
                <a:srgbClr val="70AD47"/>
              </a:solidFill>
            </cx:spPr>
          </cx:dataPt>
          <cx:dataPt idx="3">
            <cx:spPr>
              <a:solidFill>
                <a:srgbClr val="FFC000">
                  <a:lumMod val="75000"/>
                </a:srgbClr>
              </a:solidFill>
            </cx:spPr>
          </cx:dataPt>
          <cx:dataPt idx="4">
            <cx:spPr>
              <a:solidFill>
                <a:srgbClr val="FF0000"/>
              </a:solidFill>
            </cx:spPr>
          </cx:dataPt>
          <cx:dataLabels pos="outEnd">
            <cx:numFmt formatCode="_* # ##0_-;* # ##0_-;_* &quot;-&quot;??_-;_-@_-" sourceLinked="0"/>
            <cx:txPr>
              <a:bodyPr vertOverflow="overflow" horzOverflow="overflow" wrap="square" lIns="0" tIns="0" rIns="0" bIns="0"/>
              <a:lstStyle/>
              <a:p>
                <a:pPr algn="ctr" rtl="0">
                  <a:defRPr sz="1600" b="1" i="0">
                    <a:solidFill>
                      <a:schemeClr val="tx1"/>
                    </a:solidFill>
                    <a:latin typeface="Trebuchet MS" panose="020B0603020202020204" pitchFamily="34" charset="0"/>
                    <a:ea typeface="Trebuchet MS" panose="020B0603020202020204" pitchFamily="34" charset="0"/>
                    <a:cs typeface="Trebuchet MS" panose="020B0603020202020204" pitchFamily="34" charset="0"/>
                  </a:defRPr>
                </a:pPr>
                <a:endParaRPr lang="fr-CH" sz="1600" b="1" i="0">
                  <a:solidFill>
                    <a:schemeClr val="tx1"/>
                  </a:solidFill>
                  <a:latin typeface="Trebuchet MS" panose="020B0603020202020204" pitchFamily="34" charset="0"/>
                </a:endParaRPr>
              </a:p>
            </cx:txPr>
            <cx:visibility seriesName="0" categoryName="0" value="1"/>
            <cx:separator>, </cx:separator>
            <cx:dataLabel idx="4">
              <cx:txPr>
                <a:bodyPr vertOverflow="overflow" horzOverflow="overflow" wrap="square" lIns="0" tIns="0" rIns="0" bIns="0"/>
                <a:lstStyle/>
                <a:p>
                  <a:pPr algn="ctr" rtl="0">
                    <a:defRPr b="1">
                      <a:solidFill>
                        <a:srgbClr val="FFFF00"/>
                      </a:solidFill>
                    </a:defRPr>
                  </a:pPr>
                  <a:r>
                    <a:rPr lang="fr-CH" b="1">
                      <a:solidFill>
                        <a:srgbClr val="FFFF00"/>
                      </a:solidFill>
                      <a:latin typeface="Trebuchet MS" panose="020B0603020202020204" pitchFamily="34" charset="0"/>
                    </a:rPr>
                    <a:t> 220 </a:t>
                  </a:r>
                </a:p>
              </cx:txPr>
            </cx:dataLabel>
          </cx:dataLabels>
          <cx:dataId val="0"/>
          <cx:layoutPr>
            <cx:visibility connectorLines="1"/>
            <cx:subtotals/>
          </cx:layoutPr>
        </cx:series>
      </cx:plotAreaRegion>
      <cx:axis id="0">
        <cx:catScaling gapWidth="0.5"/>
        <cx:tickLabels/>
        <cx:spPr>
          <a:ln>
            <a:noFill/>
          </a:ln>
        </cx:spPr>
        <cx:txPr>
          <a:bodyPr vertOverflow="overflow" horzOverflow="overflow" wrap="square" lIns="0" tIns="0" rIns="0" bIns="0"/>
          <a:lstStyle/>
          <a:p>
            <a:pPr algn="ctr" rtl="0">
              <a:defRPr sz="1050" b="1" i="0">
                <a:solidFill>
                  <a:schemeClr val="tx1"/>
                </a:solidFill>
                <a:latin typeface="Trebuchet MS" panose="020B0603020202020204" pitchFamily="34" charset="0"/>
                <a:ea typeface="Trebuchet MS" panose="020B0603020202020204" pitchFamily="34" charset="0"/>
                <a:cs typeface="Trebuchet MS" panose="020B0603020202020204" pitchFamily="34" charset="0"/>
              </a:defRPr>
            </a:pPr>
            <a:endParaRPr lang="fr-CH" sz="1050" b="1" i="0">
              <a:solidFill>
                <a:schemeClr val="tx1"/>
              </a:solidFill>
              <a:latin typeface="Trebuchet MS" panose="020B0603020202020204" pitchFamily="34" charset="0"/>
            </a:endParaRPr>
          </a:p>
        </cx:txPr>
      </cx:axis>
      <cx:axis id="1">
        <cx:valScaling min="0"/>
        <cx:majorTickMarks type="out"/>
        <cx:tickLabels/>
        <cx:spPr>
          <a:ln>
            <a:solidFill>
              <a:schemeClr val="tx1"/>
            </a:solidFill>
          </a:ln>
        </cx:spPr>
        <cx:txPr>
          <a:bodyPr vertOverflow="overflow" horzOverflow="overflow" wrap="square" lIns="0" tIns="0" rIns="0" bIns="0"/>
          <a:lstStyle/>
          <a:p>
            <a:pPr algn="ctr" rtl="0">
              <a:defRPr sz="1600" b="1" i="0">
                <a:solidFill>
                  <a:schemeClr val="tx1"/>
                </a:solidFill>
                <a:latin typeface="Trebuchet MS" panose="020B0603020202020204" pitchFamily="34" charset="0"/>
                <a:ea typeface="Trebuchet MS" panose="020B0603020202020204" pitchFamily="34" charset="0"/>
                <a:cs typeface="Trebuchet MS" panose="020B0603020202020204" pitchFamily="34" charset="0"/>
              </a:defRPr>
            </a:pPr>
            <a:endParaRPr lang="fr-CH" sz="1600" b="1" i="0">
              <a:solidFill>
                <a:schemeClr val="tx1"/>
              </a:solidFill>
              <a:latin typeface="Trebuchet MS" panose="020B0603020202020204" pitchFamily="34" charset="0"/>
            </a:endParaRPr>
          </a:p>
        </cx:txPr>
      </cx:axis>
    </cx:plotArea>
  </cx:chart>
  <cx:spPr>
    <a:noFill/>
    <a:ln>
      <a:noFill/>
    </a:ln>
  </cx:spPr>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microsoft.com/office/2014/relationships/chartEx" Target="../charts/chartEx1.xml"/><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17</xdr:col>
      <xdr:colOff>200026</xdr:colOff>
      <xdr:row>25</xdr:row>
      <xdr:rowOff>133350</xdr:rowOff>
    </xdr:from>
    <xdr:to>
      <xdr:col>25</xdr:col>
      <xdr:colOff>657226</xdr:colOff>
      <xdr:row>43</xdr:row>
      <xdr:rowOff>19050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F9A035CB-2A1F-4904-9DE0-F76198AE4D0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4411326" y="8315325"/>
              <a:ext cx="6781800" cy="3638550"/>
            </a:xfrm>
            <a:prstGeom prst="rect">
              <a:avLst/>
            </a:prstGeom>
            <a:solidFill>
              <a:prstClr val="white"/>
            </a:solidFill>
            <a:ln w="1">
              <a:solidFill>
                <a:prstClr val="green"/>
              </a:solidFill>
            </a:ln>
          </xdr:spPr>
          <xdr:txBody>
            <a:bodyPr vertOverflow="clip" horzOverflow="clip"/>
            <a:lstStyle/>
            <a:p>
              <a:r>
                <a:rPr lang="fr-CH"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oneCellAnchor>
    <xdr:from>
      <xdr:col>19</xdr:col>
      <xdr:colOff>247650</xdr:colOff>
      <xdr:row>31</xdr:row>
      <xdr:rowOff>171450</xdr:rowOff>
    </xdr:from>
    <xdr:ext cx="184731" cy="264560"/>
    <xdr:sp macro="" textlink="">
      <xdr:nvSpPr>
        <xdr:cNvPr id="3" name="ZoneTexte 2">
          <a:extLst>
            <a:ext uri="{FF2B5EF4-FFF2-40B4-BE49-F238E27FC236}">
              <a16:creationId xmlns:a16="http://schemas.microsoft.com/office/drawing/2014/main" id="{ED76C1B1-2504-4C9F-B263-3CA9F36106B4}"/>
            </a:ext>
          </a:extLst>
        </xdr:cNvPr>
        <xdr:cNvSpPr txBox="1"/>
      </xdr:nvSpPr>
      <xdr:spPr>
        <a:xfrm>
          <a:off x="15459075" y="947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H" sz="1100"/>
        </a:p>
      </xdr:txBody>
    </xdr:sp>
    <xdr:clientData/>
  </xdr:oneCellAnchor>
  <xdr:oneCellAnchor>
    <xdr:from>
      <xdr:col>16</xdr:col>
      <xdr:colOff>789385</xdr:colOff>
      <xdr:row>48</xdr:row>
      <xdr:rowOff>16668</xdr:rowOff>
    </xdr:from>
    <xdr:ext cx="1001749" cy="170624"/>
    <xdr:sp macro="" textlink="">
      <xdr:nvSpPr>
        <xdr:cNvPr id="4" name="ZoneTexte 3">
          <a:extLst>
            <a:ext uri="{FF2B5EF4-FFF2-40B4-BE49-F238E27FC236}">
              <a16:creationId xmlns:a16="http://schemas.microsoft.com/office/drawing/2014/main" id="{5CAC9743-97A6-42A1-9CF1-83DF376AE2F8}"/>
            </a:ext>
          </a:extLst>
        </xdr:cNvPr>
        <xdr:cNvSpPr txBox="1"/>
      </xdr:nvSpPr>
      <xdr:spPr>
        <a:xfrm>
          <a:off x="13924360" y="12770643"/>
          <a:ext cx="1001749" cy="17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CH" sz="500">
              <a:solidFill>
                <a:schemeClr val="bg1">
                  <a:lumMod val="75000"/>
                </a:schemeClr>
              </a:solidFill>
            </a:rPr>
            <a:t>©</a:t>
          </a:r>
          <a:r>
            <a:rPr lang="fr-CH" sz="500" baseline="0">
              <a:solidFill>
                <a:schemeClr val="bg1">
                  <a:lumMod val="75000"/>
                </a:schemeClr>
              </a:solidFill>
            </a:rPr>
            <a:t> </a:t>
          </a:r>
          <a:r>
            <a:rPr lang="fr-CH" sz="500">
              <a:solidFill>
                <a:schemeClr val="bg1">
                  <a:lumMod val="75000"/>
                </a:schemeClr>
              </a:solidFill>
            </a:rPr>
            <a:t>2021,</a:t>
          </a:r>
          <a:r>
            <a:rPr lang="fr-CH" sz="500" baseline="0">
              <a:solidFill>
                <a:schemeClr val="bg1">
                  <a:lumMod val="75000"/>
                </a:schemeClr>
              </a:solidFill>
            </a:rPr>
            <a:t> Michel de Rougemont</a:t>
          </a:r>
          <a:endParaRPr lang="fr-CH" sz="500">
            <a:solidFill>
              <a:schemeClr val="bg1">
                <a:lumMod val="75000"/>
              </a:schemeClr>
            </a:solidFill>
          </a:endParaRPr>
        </a:p>
      </xdr:txBody>
    </xdr:sp>
    <xdr:clientData/>
  </xdr:oneCellAnchor>
  <xdr:twoCellAnchor>
    <xdr:from>
      <xdr:col>27</xdr:col>
      <xdr:colOff>576262</xdr:colOff>
      <xdr:row>10</xdr:row>
      <xdr:rowOff>123825</xdr:rowOff>
    </xdr:from>
    <xdr:to>
      <xdr:col>33</xdr:col>
      <xdr:colOff>576262</xdr:colOff>
      <xdr:row>27</xdr:row>
      <xdr:rowOff>19050</xdr:rowOff>
    </xdr:to>
    <xdr:graphicFrame macro="">
      <xdr:nvGraphicFramePr>
        <xdr:cNvPr id="8" name="Graphique 7">
          <a:extLst>
            <a:ext uri="{FF2B5EF4-FFF2-40B4-BE49-F238E27FC236}">
              <a16:creationId xmlns:a16="http://schemas.microsoft.com/office/drawing/2014/main" id="{F9080AE0-6E18-4EA4-AEB2-C98CD704AA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619125</xdr:colOff>
      <xdr:row>28</xdr:row>
      <xdr:rowOff>0</xdr:rowOff>
    </xdr:from>
    <xdr:to>
      <xdr:col>33</xdr:col>
      <xdr:colOff>619125</xdr:colOff>
      <xdr:row>42</xdr:row>
      <xdr:rowOff>271462</xdr:rowOff>
    </xdr:to>
    <xdr:graphicFrame macro="">
      <xdr:nvGraphicFramePr>
        <xdr:cNvPr id="10" name="Graphique 9">
          <a:extLst>
            <a:ext uri="{FF2B5EF4-FFF2-40B4-BE49-F238E27FC236}">
              <a16:creationId xmlns:a16="http://schemas.microsoft.com/office/drawing/2014/main" id="{1B129FE6-F83E-4437-8A77-C5FFA8CB1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35</xdr:col>
      <xdr:colOff>619125</xdr:colOff>
      <xdr:row>11</xdr:row>
      <xdr:rowOff>66675</xdr:rowOff>
    </xdr:from>
    <xdr:to>
      <xdr:col>41</xdr:col>
      <xdr:colOff>619125</xdr:colOff>
      <xdr:row>27</xdr:row>
      <xdr:rowOff>152400</xdr:rowOff>
    </xdr:to>
    <xdr:graphicFrame macro="">
      <xdr:nvGraphicFramePr>
        <xdr:cNvPr id="11" name="Graphique 10">
          <a:extLst>
            <a:ext uri="{FF2B5EF4-FFF2-40B4-BE49-F238E27FC236}">
              <a16:creationId xmlns:a16="http://schemas.microsoft.com/office/drawing/2014/main" id="{40095F29-0CCC-41D1-A010-3B8534D016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0.69896</cdr:x>
      <cdr:y>0.56216</cdr:y>
    </cdr:from>
    <cdr:to>
      <cdr:x>0.89896</cdr:x>
      <cdr:y>0.67838</cdr:y>
    </cdr:to>
    <cdr:sp macro="" textlink="investment!$Q$29">
      <cdr:nvSpPr>
        <cdr:cNvPr id="2" name="ZoneTexte 1">
          <a:extLst xmlns:a="http://schemas.openxmlformats.org/drawingml/2006/main">
            <a:ext uri="{FF2B5EF4-FFF2-40B4-BE49-F238E27FC236}">
              <a16:creationId xmlns:a16="http://schemas.microsoft.com/office/drawing/2014/main" id="{F224DA3D-95E4-4036-9D0B-0A1974C0141F}"/>
            </a:ext>
          </a:extLst>
        </cdr:cNvPr>
        <cdr:cNvSpPr txBox="1"/>
      </cdr:nvSpPr>
      <cdr:spPr>
        <a:xfrm xmlns:a="http://schemas.openxmlformats.org/drawingml/2006/main">
          <a:off x="3195638" y="1981199"/>
          <a:ext cx="914400"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A97D3A6-6C39-4663-99AB-88F0FD32905F}" type="TxLink">
            <a:rPr lang="en-US" sz="1400" b="1" i="0" u="none" strike="noStrike">
              <a:solidFill>
                <a:srgbClr val="FF0000"/>
              </a:solidFill>
              <a:latin typeface="Arial"/>
              <a:cs typeface="Arial"/>
            </a:rPr>
            <a:pPr/>
            <a:t> 127 </a:t>
          </a:fld>
          <a:endParaRPr lang="fr-CH" sz="1400">
            <a:solidFill>
              <a:srgbClr val="FF0000"/>
            </a:solidFill>
            <a:latin typeface="Trebuchet MS" panose="020B0603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0.73333</cdr:x>
      <cdr:y>0.56216</cdr:y>
    </cdr:from>
    <cdr:to>
      <cdr:x>0.91875</cdr:x>
      <cdr:y>0.64865</cdr:y>
    </cdr:to>
    <cdr:sp macro="" textlink="investment!$M$29">
      <cdr:nvSpPr>
        <cdr:cNvPr id="2" name="ZoneTexte 1">
          <a:extLst xmlns:a="http://schemas.openxmlformats.org/drawingml/2006/main">
            <a:ext uri="{FF2B5EF4-FFF2-40B4-BE49-F238E27FC236}">
              <a16:creationId xmlns:a16="http://schemas.microsoft.com/office/drawing/2014/main" id="{AA664E15-B997-4034-AC16-FDD809EF4851}"/>
            </a:ext>
          </a:extLst>
        </cdr:cNvPr>
        <cdr:cNvSpPr txBox="1"/>
      </cdr:nvSpPr>
      <cdr:spPr>
        <a:xfrm xmlns:a="http://schemas.openxmlformats.org/drawingml/2006/main">
          <a:off x="3352800" y="1981200"/>
          <a:ext cx="847725"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F7BA7DB-D429-4AD4-982D-6E7D0756DE7D}" type="TxLink">
            <a:rPr lang="en-US" sz="1400" b="1" i="0" u="none" strike="noStrike">
              <a:solidFill>
                <a:srgbClr val="FF0000"/>
              </a:solidFill>
              <a:latin typeface="Arial"/>
              <a:cs typeface="Arial"/>
            </a:rPr>
            <a:pPr/>
            <a:t> 220 </a:t>
          </a:fld>
          <a:endParaRPr lang="fr-CH" sz="1400">
            <a:solidFill>
              <a:srgbClr val="FF0000"/>
            </a:solidFill>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30F0-572F-4CF8-BC52-1EB675877A32}">
  <sheetPr>
    <pageSetUpPr fitToPage="1"/>
  </sheetPr>
  <dimension ref="B1:AK85"/>
  <sheetViews>
    <sheetView tabSelected="1" topLeftCell="B26" zoomScaleNormal="100" workbookViewId="0">
      <selection activeCell="B41" sqref="B41"/>
    </sheetView>
  </sheetViews>
  <sheetFormatPr baseColWidth="10" defaultRowHeight="15" x14ac:dyDescent="0.25"/>
  <cols>
    <col min="1" max="1" width="4.140625" style="3" customWidth="1"/>
    <col min="2" max="2" width="17.85546875" style="3" customWidth="1"/>
    <col min="3" max="3" width="14.140625" style="3" customWidth="1"/>
    <col min="4" max="4" width="11.42578125" style="3"/>
    <col min="5" max="5" width="14.28515625" style="3" customWidth="1"/>
    <col min="6" max="6" width="12.5703125" style="3" customWidth="1"/>
    <col min="7" max="7" width="12.28515625" style="3" customWidth="1"/>
    <col min="8" max="8" width="3.28515625" style="3" customWidth="1"/>
    <col min="9" max="9" width="16.85546875" style="3" customWidth="1"/>
    <col min="10" max="10" width="12.7109375" style="3" customWidth="1"/>
    <col min="11" max="11" width="12.28515625" style="3" customWidth="1"/>
    <col min="12" max="12" width="13.28515625" style="3" customWidth="1"/>
    <col min="13" max="13" width="14.28515625" style="3" customWidth="1"/>
    <col min="14" max="14" width="11.28515625" style="3" customWidth="1"/>
    <col min="15" max="15" width="12.7109375" style="3" customWidth="1"/>
    <col min="16" max="16" width="13.5703125" style="14" customWidth="1"/>
    <col min="17" max="17" width="16.140625" style="3" customWidth="1"/>
    <col min="18" max="19" width="11.42578125" style="3"/>
    <col min="20" max="25" width="12" style="3" customWidth="1"/>
    <col min="26" max="16384" width="11.42578125" style="3"/>
  </cols>
  <sheetData>
    <row r="1" spans="2:26" s="1" customFormat="1" ht="35.25" customHeight="1" x14ac:dyDescent="0.25">
      <c r="B1" s="18" t="s">
        <v>0</v>
      </c>
      <c r="P1" s="2"/>
    </row>
    <row r="2" spans="2:26" ht="69.75" customHeight="1" x14ac:dyDescent="0.2">
      <c r="B2" s="137" t="s">
        <v>130</v>
      </c>
      <c r="C2" s="137"/>
      <c r="D2" s="137"/>
      <c r="E2" s="137"/>
      <c r="F2" s="137"/>
      <c r="G2" s="137"/>
      <c r="H2" s="137"/>
      <c r="I2" s="137"/>
      <c r="J2" s="137"/>
      <c r="K2" s="137"/>
      <c r="L2" s="137"/>
      <c r="M2" s="137"/>
      <c r="N2" s="137"/>
      <c r="O2" s="137"/>
      <c r="P2" s="137"/>
    </row>
    <row r="3" spans="2:26" ht="60.75" customHeight="1" x14ac:dyDescent="0.2">
      <c r="B3" s="137" t="s">
        <v>131</v>
      </c>
      <c r="C3" s="137"/>
      <c r="D3" s="137"/>
      <c r="E3" s="137"/>
      <c r="F3" s="137"/>
      <c r="G3" s="137"/>
      <c r="H3" s="137"/>
      <c r="I3" s="137"/>
      <c r="J3" s="137"/>
      <c r="K3" s="137"/>
      <c r="L3" s="137"/>
      <c r="M3" s="137"/>
      <c r="N3" s="137"/>
      <c r="O3" s="137"/>
      <c r="P3" s="137"/>
    </row>
    <row r="4" spans="2:26" ht="15" customHeight="1" x14ac:dyDescent="0.2">
      <c r="C4" s="78"/>
      <c r="D4" s="116" t="s">
        <v>117</v>
      </c>
      <c r="E4" s="117" t="s">
        <v>122</v>
      </c>
      <c r="F4" s="78"/>
      <c r="G4" s="78"/>
      <c r="H4" s="78"/>
      <c r="I4" s="118"/>
      <c r="J4" s="104"/>
      <c r="K4" s="104"/>
      <c r="L4" s="104"/>
      <c r="M4" s="104"/>
      <c r="N4" s="104"/>
      <c r="O4" s="104"/>
      <c r="P4" s="104"/>
    </row>
    <row r="5" spans="2:26" ht="15" customHeight="1" x14ac:dyDescent="0.25">
      <c r="C5" s="78"/>
      <c r="D5" s="111" t="s">
        <v>166</v>
      </c>
      <c r="E5" s="111">
        <v>0.91</v>
      </c>
      <c r="F5" s="78"/>
      <c r="G5" s="78"/>
      <c r="H5" s="78"/>
      <c r="I5" s="118"/>
      <c r="J5" s="104"/>
      <c r="K5" s="104"/>
      <c r="L5" s="104"/>
      <c r="M5" s="104"/>
      <c r="N5" s="104"/>
      <c r="O5" s="104"/>
      <c r="P5" s="104"/>
    </row>
    <row r="6" spans="2:26" ht="15" customHeight="1" x14ac:dyDescent="0.25">
      <c r="C6" s="78"/>
      <c r="D6" s="78" t="s">
        <v>118</v>
      </c>
      <c r="E6" s="78"/>
      <c r="F6" s="78"/>
      <c r="G6" s="78"/>
      <c r="H6" s="78"/>
      <c r="I6" s="118"/>
      <c r="J6" s="104"/>
      <c r="K6" s="104"/>
      <c r="L6" s="104"/>
      <c r="M6" s="104"/>
      <c r="N6" s="104"/>
      <c r="O6" s="104"/>
      <c r="P6" s="104"/>
    </row>
    <row r="7" spans="2:26" s="2" customFormat="1" ht="48" customHeight="1" x14ac:dyDescent="0.25">
      <c r="B7" s="140" t="s">
        <v>1</v>
      </c>
      <c r="C7" s="140"/>
      <c r="D7" s="103">
        <v>60</v>
      </c>
      <c r="E7" s="82" t="s">
        <v>2</v>
      </c>
      <c r="F7" s="83"/>
      <c r="G7" s="84"/>
      <c r="H7" s="84"/>
      <c r="I7" s="141" t="s">
        <v>3</v>
      </c>
      <c r="J7" s="141"/>
      <c r="K7" s="141"/>
      <c r="L7" s="141"/>
      <c r="M7" s="141"/>
      <c r="N7" s="141" t="s">
        <v>4</v>
      </c>
      <c r="O7" s="141"/>
      <c r="P7" s="105" t="s">
        <v>5</v>
      </c>
    </row>
    <row r="8" spans="2:26" s="4" customFormat="1" ht="92.25" customHeight="1" x14ac:dyDescent="0.25">
      <c r="B8" s="85" t="s">
        <v>6</v>
      </c>
      <c r="C8" s="85"/>
      <c r="D8" s="85" t="s">
        <v>120</v>
      </c>
      <c r="E8" s="86" t="s">
        <v>115</v>
      </c>
      <c r="F8" s="85" t="s">
        <v>121</v>
      </c>
      <c r="G8" s="86" t="s">
        <v>8</v>
      </c>
      <c r="H8" s="85"/>
      <c r="I8" s="85" t="s">
        <v>9</v>
      </c>
      <c r="J8" s="85" t="s">
        <v>10</v>
      </c>
      <c r="K8" s="85" t="s">
        <v>139</v>
      </c>
      <c r="L8" s="86" t="s">
        <v>119</v>
      </c>
      <c r="M8" s="86" t="str">
        <f>"Additional Investment for Power generation due to storage loss"</f>
        <v>Additional Investment for Power generation due to storage loss</v>
      </c>
      <c r="N8" s="87" t="s">
        <v>11</v>
      </c>
      <c r="O8" s="86" t="s">
        <v>12</v>
      </c>
      <c r="P8" s="85"/>
      <c r="Q8" s="4" t="s">
        <v>165</v>
      </c>
      <c r="T8" s="4" t="s">
        <v>52</v>
      </c>
      <c r="U8" s="5" t="s">
        <v>13</v>
      </c>
      <c r="V8" s="5" t="s">
        <v>14</v>
      </c>
      <c r="W8" s="5"/>
      <c r="X8" s="5" t="s">
        <v>15</v>
      </c>
      <c r="Y8" s="5" t="s">
        <v>8</v>
      </c>
    </row>
    <row r="9" spans="2:26" s="1" customFormat="1" ht="22.5" customHeight="1" x14ac:dyDescent="0.25">
      <c r="B9" s="88"/>
      <c r="C9" s="88"/>
      <c r="D9" s="89" t="s">
        <v>16</v>
      </c>
      <c r="E9" s="90" t="s">
        <v>17</v>
      </c>
      <c r="F9" s="83" t="s">
        <v>116</v>
      </c>
      <c r="G9" s="91" t="str">
        <f>"Mrd "&amp;currency</f>
        <v>Mrd CHF</v>
      </c>
      <c r="H9" s="88"/>
      <c r="I9" s="92" t="s">
        <v>16</v>
      </c>
      <c r="J9" s="92" t="s">
        <v>17</v>
      </c>
      <c r="K9" s="126">
        <v>0.8</v>
      </c>
      <c r="L9" s="107">
        <v>1.2</v>
      </c>
      <c r="M9" s="91" t="str">
        <f>"Mrd "&amp;currency</f>
        <v>Mrd CHF</v>
      </c>
      <c r="N9" s="92"/>
      <c r="O9" s="91" t="str">
        <f>"Mrd "&amp;currency</f>
        <v>Mrd CHF</v>
      </c>
      <c r="P9" s="90" t="str">
        <f>"Mrd "&amp;currency</f>
        <v>Mrd CHF</v>
      </c>
      <c r="Q9" s="130" t="s">
        <v>17</v>
      </c>
      <c r="T9" s="1" t="s">
        <v>19</v>
      </c>
      <c r="U9" s="1">
        <v>1650</v>
      </c>
      <c r="V9" s="6">
        <v>12400</v>
      </c>
      <c r="W9" s="1" t="s">
        <v>20</v>
      </c>
      <c r="X9" s="1">
        <v>1.1499999999999999</v>
      </c>
      <c r="Y9" s="7">
        <f>+V9*X9/U9</f>
        <v>8.6424242424242408</v>
      </c>
      <c r="Z9" s="1" t="s">
        <v>21</v>
      </c>
    </row>
    <row r="10" spans="2:26" ht="15" customHeight="1" x14ac:dyDescent="0.25">
      <c r="B10" s="93" t="s">
        <v>22</v>
      </c>
      <c r="C10" s="93" t="s">
        <v>23</v>
      </c>
      <c r="D10" s="125">
        <v>0.2</v>
      </c>
      <c r="E10" s="94">
        <f t="shared" ref="E10:E17" si="0">+cap/8.766/D10</f>
        <v>34.223134839151264</v>
      </c>
      <c r="F10" s="122">
        <v>1</v>
      </c>
      <c r="G10" s="95">
        <f t="shared" ref="G10:G17" si="1">+F10*E10*xrate</f>
        <v>31.143052703627653</v>
      </c>
      <c r="H10" s="93"/>
      <c r="I10" s="123">
        <v>0.8</v>
      </c>
      <c r="J10" s="96">
        <f>+I10*E10</f>
        <v>27.378507871321013</v>
      </c>
      <c r="K10" s="97">
        <f t="shared" ref="K10:K17" si="2">+J10*(1/$K$9-1)</f>
        <v>6.8446269678302532</v>
      </c>
      <c r="L10" s="98">
        <f t="shared" ref="L10:L17" si="3">(J10+K10)*$L$9*xrate</f>
        <v>37.371663244353179</v>
      </c>
      <c r="M10" s="95">
        <f t="shared" ref="M10:M17" si="4">+K10*F10*xrate</f>
        <v>6.2286105407255308</v>
      </c>
      <c r="N10" s="99">
        <v>5.0000000000000001E-3</v>
      </c>
      <c r="O10" s="100">
        <f>+N10*10*(G10+M10)</f>
        <v>1.8685831622176594</v>
      </c>
      <c r="P10" s="101">
        <f t="shared" ref="P10:P17" si="5">+G10+L10+M10+O10</f>
        <v>76.611909650924019</v>
      </c>
      <c r="Q10" s="11">
        <f>(E10+J10+K10)*(1+N10*10)</f>
        <v>71.868583162217661</v>
      </c>
      <c r="T10" s="3" t="s">
        <v>24</v>
      </c>
      <c r="U10" s="3">
        <v>3260</v>
      </c>
      <c r="V10" s="8">
        <v>23000</v>
      </c>
      <c r="W10" s="3" t="s">
        <v>25</v>
      </c>
      <c r="X10" s="3">
        <v>1.35</v>
      </c>
      <c r="Y10" s="11">
        <f>+V10*X10/U10</f>
        <v>9.5245398773006151</v>
      </c>
    </row>
    <row r="11" spans="2:26" x14ac:dyDescent="0.25">
      <c r="B11" s="93" t="s">
        <v>22</v>
      </c>
      <c r="C11" s="93" t="s">
        <v>26</v>
      </c>
      <c r="D11" s="125">
        <v>0.11</v>
      </c>
      <c r="E11" s="94">
        <f t="shared" si="0"/>
        <v>62.223881525729574</v>
      </c>
      <c r="F11" s="122">
        <v>1.5</v>
      </c>
      <c r="G11" s="95">
        <f t="shared" si="1"/>
        <v>84.935598282620873</v>
      </c>
      <c r="H11" s="93"/>
      <c r="I11" s="123">
        <v>0.8</v>
      </c>
      <c r="J11" s="96">
        <f t="shared" ref="J11:J17" si="6">+I11*E11</f>
        <v>49.779105220583659</v>
      </c>
      <c r="K11" s="97">
        <f t="shared" si="2"/>
        <v>12.444776305145915</v>
      </c>
      <c r="L11" s="98">
        <f t="shared" si="3"/>
        <v>67.948478626096701</v>
      </c>
      <c r="M11" s="95">
        <f t="shared" si="4"/>
        <v>16.987119656524175</v>
      </c>
      <c r="N11" s="99">
        <v>5.0000000000000001E-3</v>
      </c>
      <c r="O11" s="100">
        <f t="shared" ref="O11:O17" si="7">+N11*10*(G11+M11)</f>
        <v>5.0961358969572528</v>
      </c>
      <c r="P11" s="101">
        <f t="shared" si="5"/>
        <v>174.96733246219904</v>
      </c>
      <c r="Q11" s="11">
        <f t="shared" ref="Q11:Q17" si="8">(E11+J11+K11)*(1+N11*10)</f>
        <v>130.67015120403212</v>
      </c>
      <c r="T11" s="3" t="s">
        <v>27</v>
      </c>
      <c r="U11" s="3">
        <v>1600</v>
      </c>
      <c r="V11" s="8">
        <v>11000</v>
      </c>
      <c r="W11" s="3" t="s">
        <v>20</v>
      </c>
      <c r="X11" s="3">
        <v>1.1499999999999999</v>
      </c>
      <c r="Y11" s="11">
        <f>+V11*X11/U11</f>
        <v>7.9062499999999991</v>
      </c>
    </row>
    <row r="12" spans="2:26" x14ac:dyDescent="0.25">
      <c r="B12" s="93" t="s">
        <v>28</v>
      </c>
      <c r="C12" s="93" t="s">
        <v>26</v>
      </c>
      <c r="D12" s="125">
        <v>0.11</v>
      </c>
      <c r="E12" s="94">
        <f t="shared" si="0"/>
        <v>62.223881525729574</v>
      </c>
      <c r="F12" s="122">
        <v>3</v>
      </c>
      <c r="G12" s="95">
        <f t="shared" si="1"/>
        <v>169.87119656524175</v>
      </c>
      <c r="H12" s="93"/>
      <c r="I12" s="123">
        <v>0.9</v>
      </c>
      <c r="J12" s="96">
        <f t="shared" si="6"/>
        <v>56.00149337315662</v>
      </c>
      <c r="K12" s="97">
        <f t="shared" si="2"/>
        <v>14.000373343289155</v>
      </c>
      <c r="L12" s="98">
        <f t="shared" si="3"/>
        <v>76.442038454358794</v>
      </c>
      <c r="M12" s="95">
        <f t="shared" si="4"/>
        <v>38.221019227179397</v>
      </c>
      <c r="N12" s="99">
        <v>5.0000000000000001E-3</v>
      </c>
      <c r="O12" s="100">
        <f t="shared" si="7"/>
        <v>10.404610789621058</v>
      </c>
      <c r="P12" s="101">
        <f t="shared" si="5"/>
        <v>294.93886503640101</v>
      </c>
      <c r="Q12" s="11">
        <f t="shared" si="8"/>
        <v>138.83703565428414</v>
      </c>
      <c r="V12" s="8"/>
    </row>
    <row r="13" spans="2:26" x14ac:dyDescent="0.25">
      <c r="B13" s="93" t="s">
        <v>29</v>
      </c>
      <c r="C13" s="93"/>
      <c r="D13" s="125">
        <v>0.2</v>
      </c>
      <c r="E13" s="94">
        <f t="shared" si="0"/>
        <v>34.223134839151264</v>
      </c>
      <c r="F13" s="122">
        <v>1.5</v>
      </c>
      <c r="G13" s="95">
        <f t="shared" si="1"/>
        <v>46.714579055441476</v>
      </c>
      <c r="H13" s="93"/>
      <c r="I13" s="123">
        <v>0.6</v>
      </c>
      <c r="J13" s="96">
        <f t="shared" si="6"/>
        <v>20.533880903490758</v>
      </c>
      <c r="K13" s="97">
        <f t="shared" si="2"/>
        <v>5.1334702258726894</v>
      </c>
      <c r="L13" s="98">
        <f t="shared" si="3"/>
        <v>28.028747433264883</v>
      </c>
      <c r="M13" s="95">
        <f t="shared" si="4"/>
        <v>7.0071868583162216</v>
      </c>
      <c r="N13" s="99">
        <v>1E-3</v>
      </c>
      <c r="O13" s="100">
        <f t="shared" si="7"/>
        <v>0.53721765913757702</v>
      </c>
      <c r="P13" s="101">
        <f t="shared" si="5"/>
        <v>82.287731006160158</v>
      </c>
      <c r="Q13" s="11">
        <f t="shared" si="8"/>
        <v>60.489390828199866</v>
      </c>
      <c r="T13" s="3" t="s">
        <v>30</v>
      </c>
      <c r="U13" s="3">
        <v>3320</v>
      </c>
      <c r="V13" s="8">
        <v>10500</v>
      </c>
      <c r="W13" s="3" t="s">
        <v>31</v>
      </c>
      <c r="X13" s="3">
        <v>1</v>
      </c>
      <c r="Y13" s="11">
        <f>+V13*X13/U13</f>
        <v>3.1626506024096384</v>
      </c>
    </row>
    <row r="14" spans="2:26" x14ac:dyDescent="0.25">
      <c r="B14" s="93" t="s">
        <v>32</v>
      </c>
      <c r="C14" s="93"/>
      <c r="D14" s="125">
        <v>0.35</v>
      </c>
      <c r="E14" s="94">
        <f t="shared" si="0"/>
        <v>19.556077050943582</v>
      </c>
      <c r="F14" s="122">
        <v>3</v>
      </c>
      <c r="G14" s="95">
        <f t="shared" si="1"/>
        <v>53.388090349075981</v>
      </c>
      <c r="H14" s="93"/>
      <c r="I14" s="123">
        <v>0.6</v>
      </c>
      <c r="J14" s="96">
        <f t="shared" si="6"/>
        <v>11.73364623056615</v>
      </c>
      <c r="K14" s="97">
        <f t="shared" si="2"/>
        <v>2.9334115576415374</v>
      </c>
      <c r="L14" s="98">
        <f t="shared" si="3"/>
        <v>16.016427104722794</v>
      </c>
      <c r="M14" s="95">
        <f t="shared" si="4"/>
        <v>8.0082135523613971</v>
      </c>
      <c r="N14" s="99">
        <v>1E-3</v>
      </c>
      <c r="O14" s="100">
        <f t="shared" si="7"/>
        <v>0.61396303901437377</v>
      </c>
      <c r="P14" s="101">
        <f t="shared" si="5"/>
        <v>78.026694045174551</v>
      </c>
      <c r="Q14" s="11">
        <f t="shared" si="8"/>
        <v>34.565366187542779</v>
      </c>
    </row>
    <row r="15" spans="2:26" x14ac:dyDescent="0.25">
      <c r="B15" s="93" t="s">
        <v>33</v>
      </c>
      <c r="C15" s="93" t="s">
        <v>34</v>
      </c>
      <c r="D15" s="125">
        <v>0.9</v>
      </c>
      <c r="E15" s="94">
        <f t="shared" si="0"/>
        <v>7.6051410753669479</v>
      </c>
      <c r="F15" s="122">
        <v>10</v>
      </c>
      <c r="G15" s="95">
        <f t="shared" si="1"/>
        <v>69.206783785839221</v>
      </c>
      <c r="H15" s="93"/>
      <c r="I15" s="124">
        <v>0</v>
      </c>
      <c r="J15" s="96">
        <f t="shared" si="6"/>
        <v>0</v>
      </c>
      <c r="K15" s="97">
        <f t="shared" si="2"/>
        <v>0</v>
      </c>
      <c r="L15" s="98">
        <f t="shared" si="3"/>
        <v>0</v>
      </c>
      <c r="M15" s="95">
        <f t="shared" si="4"/>
        <v>0</v>
      </c>
      <c r="N15" s="102">
        <v>0</v>
      </c>
      <c r="O15" s="100">
        <f t="shared" si="7"/>
        <v>0</v>
      </c>
      <c r="P15" s="101">
        <f t="shared" si="5"/>
        <v>69.206783785839221</v>
      </c>
      <c r="Q15" s="11">
        <f t="shared" si="8"/>
        <v>7.6051410753669479</v>
      </c>
    </row>
    <row r="16" spans="2:26" x14ac:dyDescent="0.25">
      <c r="B16" s="93" t="s">
        <v>35</v>
      </c>
      <c r="C16" s="93" t="s">
        <v>36</v>
      </c>
      <c r="D16" s="125">
        <v>0.9</v>
      </c>
      <c r="E16" s="94">
        <f t="shared" si="0"/>
        <v>7.6051410753669479</v>
      </c>
      <c r="F16" s="122">
        <v>6</v>
      </c>
      <c r="G16" s="95">
        <f t="shared" si="1"/>
        <v>41.52407027150354</v>
      </c>
      <c r="H16" s="93"/>
      <c r="I16" s="124">
        <v>0</v>
      </c>
      <c r="J16" s="96">
        <f t="shared" si="6"/>
        <v>0</v>
      </c>
      <c r="K16" s="97">
        <f t="shared" si="2"/>
        <v>0</v>
      </c>
      <c r="L16" s="98">
        <f t="shared" si="3"/>
        <v>0</v>
      </c>
      <c r="M16" s="95">
        <f t="shared" si="4"/>
        <v>0</v>
      </c>
      <c r="N16" s="102">
        <v>0</v>
      </c>
      <c r="O16" s="100">
        <f t="shared" si="7"/>
        <v>0</v>
      </c>
      <c r="P16" s="101">
        <f t="shared" si="5"/>
        <v>41.52407027150354</v>
      </c>
      <c r="Q16" s="11">
        <f t="shared" si="8"/>
        <v>7.6051410753669479</v>
      </c>
    </row>
    <row r="17" spans="2:27" x14ac:dyDescent="0.25">
      <c r="B17" s="93" t="s">
        <v>35</v>
      </c>
      <c r="C17" s="93" t="s">
        <v>37</v>
      </c>
      <c r="D17" s="125">
        <v>0.9</v>
      </c>
      <c r="E17" s="94">
        <f t="shared" si="0"/>
        <v>7.6051410753669479</v>
      </c>
      <c r="F17" s="122">
        <v>4</v>
      </c>
      <c r="G17" s="95">
        <f t="shared" si="1"/>
        <v>27.682713514335692</v>
      </c>
      <c r="H17" s="93"/>
      <c r="I17" s="124">
        <v>0</v>
      </c>
      <c r="J17" s="96">
        <f t="shared" si="6"/>
        <v>0</v>
      </c>
      <c r="K17" s="97">
        <f t="shared" si="2"/>
        <v>0</v>
      </c>
      <c r="L17" s="98">
        <f t="shared" si="3"/>
        <v>0</v>
      </c>
      <c r="M17" s="95">
        <f t="shared" si="4"/>
        <v>0</v>
      </c>
      <c r="N17" s="102">
        <v>0</v>
      </c>
      <c r="O17" s="100">
        <f t="shared" si="7"/>
        <v>0</v>
      </c>
      <c r="P17" s="101">
        <f t="shared" si="5"/>
        <v>27.682713514335692</v>
      </c>
      <c r="Q17" s="11">
        <f t="shared" si="8"/>
        <v>7.6051410753669479</v>
      </c>
    </row>
    <row r="18" spans="2:27" ht="15.75" thickBot="1" x14ac:dyDescent="0.3">
      <c r="D18" s="12"/>
      <c r="J18" s="6"/>
      <c r="L18" s="9"/>
      <c r="M18" s="8"/>
      <c r="N18" s="13"/>
      <c r="O18" s="10"/>
    </row>
    <row r="19" spans="2:27" ht="45" customHeight="1" x14ac:dyDescent="0.25">
      <c r="B19" s="142" t="s">
        <v>108</v>
      </c>
      <c r="C19" s="143"/>
      <c r="D19" s="143"/>
      <c r="E19" s="144"/>
      <c r="I19" s="145" t="s">
        <v>114</v>
      </c>
      <c r="J19" s="146"/>
      <c r="K19" s="146"/>
      <c r="L19" s="146"/>
      <c r="M19" s="72" t="str">
        <f>"For "&amp;cap&amp;" TWh/a"</f>
        <v>For 60 TWh/a</v>
      </c>
      <c r="N19" s="13"/>
      <c r="O19" s="10"/>
      <c r="T19" s="4" t="s">
        <v>162</v>
      </c>
      <c r="U19" s="3" t="s">
        <v>163</v>
      </c>
      <c r="V19" s="4" t="s">
        <v>164</v>
      </c>
      <c r="W19" s="3" t="s">
        <v>113</v>
      </c>
      <c r="X19" s="3" t="s">
        <v>109</v>
      </c>
    </row>
    <row r="20" spans="2:27" x14ac:dyDescent="0.25">
      <c r="B20" s="138" t="s">
        <v>38</v>
      </c>
      <c r="C20" s="139"/>
      <c r="D20" s="54">
        <v>50000</v>
      </c>
      <c r="E20" s="47" t="s">
        <v>2</v>
      </c>
      <c r="I20" s="59"/>
      <c r="J20" s="60"/>
      <c r="K20" s="61" t="s">
        <v>110</v>
      </c>
      <c r="L20" s="61" t="s">
        <v>111</v>
      </c>
      <c r="M20" s="62" t="str">
        <f>"Mrd "&amp;currency</f>
        <v>Mrd CHF</v>
      </c>
    </row>
    <row r="21" spans="2:27" x14ac:dyDescent="0.25">
      <c r="B21" s="138" t="s">
        <v>39</v>
      </c>
      <c r="C21" s="139"/>
      <c r="D21" s="15">
        <v>0.15</v>
      </c>
      <c r="E21" s="47"/>
      <c r="I21" s="59" t="str">
        <f t="shared" ref="I21:I23" si="9">+B10</f>
        <v>PV industrial</v>
      </c>
      <c r="J21" s="60" t="s">
        <v>123</v>
      </c>
      <c r="K21" s="70">
        <v>0</v>
      </c>
      <c r="L21" s="63">
        <f t="shared" ref="L21:L28" si="10">+K21/$K$29</f>
        <v>0</v>
      </c>
      <c r="M21" s="64">
        <f t="shared" ref="M21:M28" si="11">+P10*L21</f>
        <v>0</v>
      </c>
      <c r="Q21" s="133">
        <f>+L21*Q10</f>
        <v>0</v>
      </c>
      <c r="R21" s="112">
        <f>+Q21/$Q$29</f>
        <v>0</v>
      </c>
      <c r="T21" s="8">
        <f>+L21*G10</f>
        <v>0</v>
      </c>
      <c r="U21" s="8">
        <f>+L21*L10</f>
        <v>0</v>
      </c>
      <c r="V21" s="8">
        <f>+L21*M10</f>
        <v>0</v>
      </c>
      <c r="W21" s="8">
        <f>+L21*O10</f>
        <v>0</v>
      </c>
      <c r="X21" s="8">
        <f>+L21*P10</f>
        <v>0</v>
      </c>
      <c r="Y21" s="112">
        <f>+X21/$X$29</f>
        <v>0</v>
      </c>
    </row>
    <row r="22" spans="2:27" x14ac:dyDescent="0.25">
      <c r="B22" s="138" t="s">
        <v>7</v>
      </c>
      <c r="C22" s="139"/>
      <c r="D22" s="55">
        <v>1.5</v>
      </c>
      <c r="E22" s="47" t="s">
        <v>18</v>
      </c>
      <c r="I22" s="59" t="str">
        <f t="shared" si="9"/>
        <v>PV industrial</v>
      </c>
      <c r="J22" s="60" t="s">
        <v>124</v>
      </c>
      <c r="K22" s="70">
        <v>45</v>
      </c>
      <c r="L22" s="63">
        <f t="shared" si="10"/>
        <v>0.45</v>
      </c>
      <c r="M22" s="64">
        <f t="shared" si="11"/>
        <v>78.735299607989575</v>
      </c>
      <c r="Q22" s="133">
        <f t="shared" ref="Q22:Q28" si="12">+L22*Q11</f>
        <v>58.801568041814456</v>
      </c>
      <c r="R22" s="112">
        <f t="shared" ref="R22:R29" si="13">+Q22/$Q$29</f>
        <v>0.46181476096810053</v>
      </c>
      <c r="T22" s="8">
        <f t="shared" ref="T22:T28" si="14">+L22*G11</f>
        <v>38.221019227179397</v>
      </c>
      <c r="U22" s="8">
        <f t="shared" ref="U22:U28" si="15">+L22*L11</f>
        <v>30.576815381743515</v>
      </c>
      <c r="V22" s="8">
        <f t="shared" ref="V22:V28" si="16">+L22*M11</f>
        <v>7.6442038454358787</v>
      </c>
      <c r="W22" s="8">
        <f t="shared" ref="W22:W28" si="17">+L22*O11</f>
        <v>2.2932611536307639</v>
      </c>
      <c r="X22" s="8">
        <f t="shared" ref="X22:X28" si="18">+L22*P11</f>
        <v>78.735299607989575</v>
      </c>
      <c r="Y22" s="112">
        <f t="shared" ref="Y22:Y28" si="19">+X22/$X$29</f>
        <v>-0.35839834216602895</v>
      </c>
    </row>
    <row r="23" spans="2:27" x14ac:dyDescent="0.25">
      <c r="B23" s="138" t="s">
        <v>40</v>
      </c>
      <c r="C23" s="139"/>
      <c r="D23" s="15">
        <v>0.45</v>
      </c>
      <c r="E23" s="47"/>
      <c r="I23" s="59" t="str">
        <f t="shared" si="9"/>
        <v>PV individual</v>
      </c>
      <c r="J23" s="60" t="s">
        <v>124</v>
      </c>
      <c r="K23" s="70">
        <v>45</v>
      </c>
      <c r="L23" s="63">
        <f t="shared" si="10"/>
        <v>0.45</v>
      </c>
      <c r="M23" s="64">
        <f t="shared" si="11"/>
        <v>132.72248926638045</v>
      </c>
      <c r="Q23" s="133">
        <f t="shared" si="12"/>
        <v>62.476666044427866</v>
      </c>
      <c r="R23" s="112">
        <f t="shared" si="13"/>
        <v>0.49067818352860687</v>
      </c>
      <c r="T23" s="8">
        <f t="shared" si="14"/>
        <v>76.442038454358794</v>
      </c>
      <c r="U23" s="8">
        <f t="shared" si="15"/>
        <v>34.398917304461456</v>
      </c>
      <c r="V23" s="8">
        <f t="shared" si="16"/>
        <v>17.199458652230728</v>
      </c>
      <c r="W23" s="8">
        <f t="shared" si="17"/>
        <v>4.6820748553294766</v>
      </c>
      <c r="X23" s="8">
        <f t="shared" si="18"/>
        <v>132.72248926638045</v>
      </c>
      <c r="Y23" s="112">
        <f t="shared" si="19"/>
        <v>-0.60414477823860935</v>
      </c>
    </row>
    <row r="24" spans="2:27" x14ac:dyDescent="0.25">
      <c r="B24" s="138" t="s">
        <v>41</v>
      </c>
      <c r="C24" s="139"/>
      <c r="D24" s="56">
        <v>0.8</v>
      </c>
      <c r="E24" s="47"/>
      <c r="I24" s="59" t="str">
        <f>+B13</f>
        <v>Wind on shore</v>
      </c>
      <c r="J24" s="60"/>
      <c r="K24" s="70">
        <v>10</v>
      </c>
      <c r="L24" s="63">
        <f t="shared" si="10"/>
        <v>0.1</v>
      </c>
      <c r="M24" s="64">
        <f t="shared" si="11"/>
        <v>8.2287731006160154</v>
      </c>
      <c r="Q24" s="133">
        <f t="shared" si="12"/>
        <v>6.0489390828199872</v>
      </c>
      <c r="R24" s="112">
        <f t="shared" si="13"/>
        <v>4.7507055503292567E-2</v>
      </c>
      <c r="T24" s="8">
        <f t="shared" si="14"/>
        <v>4.6714579055441474</v>
      </c>
      <c r="U24" s="8">
        <f t="shared" si="15"/>
        <v>2.8028747433264884</v>
      </c>
      <c r="V24" s="8">
        <f t="shared" si="16"/>
        <v>0.70071868583162222</v>
      </c>
      <c r="W24" s="8">
        <f t="shared" si="17"/>
        <v>5.3721765913757706E-2</v>
      </c>
      <c r="X24" s="8">
        <f t="shared" si="18"/>
        <v>8.2287731006160154</v>
      </c>
      <c r="Y24" s="112">
        <f t="shared" si="19"/>
        <v>-3.7456879595361689E-2</v>
      </c>
    </row>
    <row r="25" spans="2:27" x14ac:dyDescent="0.25">
      <c r="B25" s="138" t="s">
        <v>42</v>
      </c>
      <c r="C25" s="139"/>
      <c r="D25" s="57">
        <v>1.2</v>
      </c>
      <c r="E25" s="47" t="s">
        <v>43</v>
      </c>
      <c r="I25" s="59" t="str">
        <f>+B14</f>
        <v>Wind off shore</v>
      </c>
      <c r="J25" s="60"/>
      <c r="K25" s="70">
        <v>0</v>
      </c>
      <c r="L25" s="63">
        <f t="shared" si="10"/>
        <v>0</v>
      </c>
      <c r="M25" s="64">
        <f t="shared" si="11"/>
        <v>0</v>
      </c>
      <c r="Q25" s="133">
        <f t="shared" si="12"/>
        <v>0</v>
      </c>
      <c r="R25" s="112">
        <f t="shared" si="13"/>
        <v>0</v>
      </c>
      <c r="T25" s="8">
        <f t="shared" si="14"/>
        <v>0</v>
      </c>
      <c r="U25" s="8">
        <f t="shared" si="15"/>
        <v>0</v>
      </c>
      <c r="V25" s="8">
        <f t="shared" si="16"/>
        <v>0</v>
      </c>
      <c r="W25" s="8">
        <f t="shared" si="17"/>
        <v>0</v>
      </c>
      <c r="X25" s="8">
        <f t="shared" si="18"/>
        <v>0</v>
      </c>
      <c r="Y25" s="112">
        <f t="shared" si="19"/>
        <v>0</v>
      </c>
    </row>
    <row r="26" spans="2:27" x14ac:dyDescent="0.25">
      <c r="B26" s="138" t="s">
        <v>44</v>
      </c>
      <c r="C26" s="139"/>
      <c r="D26" s="16">
        <v>5.0000000000000001E-3</v>
      </c>
      <c r="E26" s="47" t="s">
        <v>56</v>
      </c>
      <c r="I26" s="59" t="str">
        <f>+B15</f>
        <v>Nuclear prototype</v>
      </c>
      <c r="J26" s="60"/>
      <c r="K26" s="70">
        <v>0</v>
      </c>
      <c r="L26" s="63">
        <f t="shared" si="10"/>
        <v>0</v>
      </c>
      <c r="M26" s="64">
        <f t="shared" si="11"/>
        <v>0</v>
      </c>
      <c r="Q26" s="133">
        <f t="shared" si="12"/>
        <v>0</v>
      </c>
      <c r="R26" s="112">
        <f t="shared" si="13"/>
        <v>0</v>
      </c>
      <c r="T26" s="8">
        <f t="shared" si="14"/>
        <v>0</v>
      </c>
      <c r="U26" s="8">
        <f t="shared" si="15"/>
        <v>0</v>
      </c>
      <c r="V26" s="8">
        <f t="shared" si="16"/>
        <v>0</v>
      </c>
      <c r="W26" s="8">
        <f t="shared" si="17"/>
        <v>0</v>
      </c>
      <c r="X26" s="8">
        <f t="shared" si="18"/>
        <v>0</v>
      </c>
      <c r="Y26" s="112">
        <f t="shared" si="19"/>
        <v>0</v>
      </c>
    </row>
    <row r="27" spans="2:27" x14ac:dyDescent="0.25">
      <c r="B27" s="138" t="s">
        <v>45</v>
      </c>
      <c r="C27" s="139"/>
      <c r="D27" s="131">
        <f>+D20/8.766/D21</f>
        <v>38025.70537683474</v>
      </c>
      <c r="E27" s="47" t="s">
        <v>17</v>
      </c>
      <c r="H27" s="1"/>
      <c r="I27" s="59" t="str">
        <f>+B16</f>
        <v>Nuclear</v>
      </c>
      <c r="J27" s="60" t="s">
        <v>36</v>
      </c>
      <c r="K27" s="70">
        <v>0</v>
      </c>
      <c r="L27" s="63">
        <f t="shared" si="10"/>
        <v>0</v>
      </c>
      <c r="M27" s="64">
        <f t="shared" si="11"/>
        <v>0</v>
      </c>
      <c r="Q27" s="133">
        <f t="shared" si="12"/>
        <v>0</v>
      </c>
      <c r="R27" s="112">
        <f t="shared" si="13"/>
        <v>0</v>
      </c>
      <c r="T27" s="8">
        <f t="shared" si="14"/>
        <v>0</v>
      </c>
      <c r="U27" s="8">
        <f t="shared" si="15"/>
        <v>0</v>
      </c>
      <c r="V27" s="8">
        <f t="shared" si="16"/>
        <v>0</v>
      </c>
      <c r="W27" s="8">
        <f t="shared" si="17"/>
        <v>0</v>
      </c>
      <c r="X27" s="8">
        <f t="shared" si="18"/>
        <v>0</v>
      </c>
      <c r="Y27" s="112">
        <f t="shared" si="19"/>
        <v>0</v>
      </c>
    </row>
    <row r="28" spans="2:27" x14ac:dyDescent="0.25">
      <c r="B28" s="138" t="s">
        <v>8</v>
      </c>
      <c r="C28" s="139"/>
      <c r="D28" s="48">
        <f>+D27*D22*xrate</f>
        <v>51905.087839379419</v>
      </c>
      <c r="E28" s="49" t="str">
        <f>"Mrd "&amp;currency</f>
        <v>Mrd CHF</v>
      </c>
      <c r="I28" s="59" t="str">
        <f>+B17</f>
        <v>Nuclear</v>
      </c>
      <c r="J28" s="60" t="s">
        <v>37</v>
      </c>
      <c r="K28" s="71">
        <v>0</v>
      </c>
      <c r="L28" s="63">
        <f t="shared" si="10"/>
        <v>0</v>
      </c>
      <c r="M28" s="64">
        <f t="shared" si="11"/>
        <v>0</v>
      </c>
      <c r="N28" s="17"/>
      <c r="O28" s="17"/>
      <c r="P28" s="17"/>
      <c r="Q28" s="133">
        <f t="shared" si="12"/>
        <v>0</v>
      </c>
      <c r="R28" s="112">
        <f t="shared" si="13"/>
        <v>0</v>
      </c>
      <c r="S28" s="73"/>
      <c r="T28" s="74">
        <f t="shared" si="14"/>
        <v>0</v>
      </c>
      <c r="U28" s="74">
        <f t="shared" si="15"/>
        <v>0</v>
      </c>
      <c r="V28" s="74">
        <f t="shared" si="16"/>
        <v>0</v>
      </c>
      <c r="W28" s="74">
        <f t="shared" si="17"/>
        <v>0</v>
      </c>
      <c r="X28" s="74">
        <f t="shared" si="18"/>
        <v>0</v>
      </c>
      <c r="Y28" s="112">
        <f t="shared" si="19"/>
        <v>0</v>
      </c>
    </row>
    <row r="29" spans="2:27" ht="18.75" thickBot="1" x14ac:dyDescent="0.3">
      <c r="B29" s="138" t="s">
        <v>46</v>
      </c>
      <c r="C29" s="139"/>
      <c r="D29" s="48">
        <f>+D23*D27</f>
        <v>17111.567419575633</v>
      </c>
      <c r="E29" s="49" t="s">
        <v>17</v>
      </c>
      <c r="I29" s="65" t="s">
        <v>109</v>
      </c>
      <c r="J29" s="66"/>
      <c r="K29" s="67">
        <f>SUM(K21:K28)</f>
        <v>100</v>
      </c>
      <c r="L29" s="68">
        <f>SUM(L21:L28)</f>
        <v>1</v>
      </c>
      <c r="M29" s="69">
        <f>SUM(M21:M28)</f>
        <v>219.68656197498603</v>
      </c>
      <c r="N29" s="8"/>
      <c r="O29" s="8"/>
      <c r="Q29" s="135">
        <f>SUM(Q21:Q28)</f>
        <v>127.32717316906231</v>
      </c>
      <c r="R29" s="112">
        <f t="shared" si="13"/>
        <v>1</v>
      </c>
      <c r="S29" s="73"/>
      <c r="T29" s="75">
        <f>SUM(T21:T28)</f>
        <v>119.33451558708234</v>
      </c>
      <c r="U29" s="75">
        <f>SUM(U21:U28)</f>
        <v>67.778607429531448</v>
      </c>
      <c r="V29" s="75">
        <f>SUM(V21:V28)</f>
        <v>25.544381183498228</v>
      </c>
      <c r="W29" s="75">
        <f>SUM(W21:W28)</f>
        <v>7.0290577748739986</v>
      </c>
      <c r="X29" s="76">
        <f>-SUM(X21:X28)</f>
        <v>-219.68656197498603</v>
      </c>
    </row>
    <row r="30" spans="2:27" x14ac:dyDescent="0.25">
      <c r="B30" s="138" t="s">
        <v>47</v>
      </c>
      <c r="C30" s="139"/>
      <c r="D30" s="48">
        <f>(D29+D31)*D25*xrate</f>
        <v>23357.289527720739</v>
      </c>
      <c r="E30" s="49" t="str">
        <f>"Mrd "&amp;currency</f>
        <v>Mrd CHF</v>
      </c>
      <c r="R30" s="77"/>
      <c r="S30" s="78"/>
      <c r="T30" s="78"/>
      <c r="U30" s="78"/>
      <c r="V30" s="78"/>
      <c r="W30" s="78"/>
      <c r="X30" s="78"/>
      <c r="Y30" s="77"/>
      <c r="Z30" s="77"/>
      <c r="AA30" s="77"/>
    </row>
    <row r="31" spans="2:27" x14ac:dyDescent="0.25">
      <c r="B31" s="138" t="s">
        <v>105</v>
      </c>
      <c r="C31" s="139"/>
      <c r="D31" s="48">
        <f>+D29*(1/D24-1)</f>
        <v>4277.8918548939082</v>
      </c>
      <c r="E31" s="49" t="s">
        <v>17</v>
      </c>
      <c r="R31" s="79"/>
      <c r="S31" s="79"/>
      <c r="T31" s="79"/>
      <c r="U31" s="79"/>
      <c r="V31" s="79"/>
      <c r="W31" s="79"/>
      <c r="X31" s="79"/>
      <c r="Y31" s="79"/>
      <c r="Z31" s="79"/>
      <c r="AA31" s="77"/>
    </row>
    <row r="32" spans="2:27" ht="16.5" x14ac:dyDescent="0.3">
      <c r="B32" s="138" t="s">
        <v>106</v>
      </c>
      <c r="C32" s="139"/>
      <c r="D32" s="48">
        <f>+D31*D22*xrate</f>
        <v>5839.3223819301857</v>
      </c>
      <c r="E32" s="49" t="str">
        <f>"Mrd "&amp;currency</f>
        <v>Mrd CHF</v>
      </c>
      <c r="F32" s="108"/>
      <c r="G32" s="108"/>
      <c r="H32" s="106"/>
      <c r="R32" s="79"/>
      <c r="S32" s="79"/>
      <c r="T32" s="79"/>
      <c r="U32" s="79"/>
      <c r="V32" s="79"/>
      <c r="W32" s="79"/>
      <c r="X32" s="80"/>
      <c r="Y32" s="81"/>
      <c r="Z32" s="79"/>
      <c r="AA32" s="77"/>
    </row>
    <row r="33" spans="2:37" x14ac:dyDescent="0.25">
      <c r="B33" s="138" t="s">
        <v>107</v>
      </c>
      <c r="C33" s="139"/>
      <c r="D33" s="58">
        <f>+D26*10*(D28+D32)</f>
        <v>2887.2205110654804</v>
      </c>
      <c r="E33" s="49" t="str">
        <f>"Mrd "&amp;currency</f>
        <v>Mrd CHF</v>
      </c>
      <c r="F33" s="109" t="s">
        <v>17</v>
      </c>
      <c r="G33" s="109"/>
      <c r="H33" s="106"/>
      <c r="R33" s="79"/>
      <c r="S33" s="79"/>
      <c r="T33" s="79"/>
      <c r="U33" s="79"/>
      <c r="V33" s="79"/>
      <c r="W33" s="79"/>
      <c r="X33" s="79"/>
      <c r="Y33" s="79"/>
      <c r="Z33" s="79"/>
      <c r="AA33" s="77"/>
    </row>
    <row r="34" spans="2:37" ht="15.75" thickBot="1" x14ac:dyDescent="0.3">
      <c r="B34" s="50" t="s">
        <v>48</v>
      </c>
      <c r="C34" s="51"/>
      <c r="D34" s="52">
        <f>+D28+D30+D32+D33</f>
        <v>83988.920260095823</v>
      </c>
      <c r="E34" s="53" t="str">
        <f>"Mrd "&amp;currency</f>
        <v>Mrd CHF</v>
      </c>
      <c r="F34" s="110">
        <f>(D27+D29+D31)*(1+D26*10)</f>
        <v>62385.922883869498</v>
      </c>
      <c r="G34" s="110"/>
      <c r="R34" s="79"/>
      <c r="S34" s="79"/>
      <c r="T34" s="79"/>
      <c r="U34" s="79"/>
      <c r="V34" s="79"/>
      <c r="W34" s="79"/>
      <c r="X34" s="79"/>
      <c r="Y34" s="79"/>
      <c r="Z34" s="79"/>
      <c r="AA34" s="77"/>
    </row>
    <row r="35" spans="2:37" x14ac:dyDescent="0.25">
      <c r="R35" s="79"/>
      <c r="S35" s="79"/>
      <c r="T35" s="79"/>
      <c r="U35" s="79"/>
      <c r="V35" s="79"/>
      <c r="W35" s="79"/>
      <c r="X35" s="79"/>
      <c r="Y35" s="79"/>
      <c r="Z35" s="79"/>
      <c r="AA35" s="77"/>
    </row>
    <row r="36" spans="2:37" s="113" customFormat="1" ht="13.5" x14ac:dyDescent="0.2">
      <c r="B36" s="119" t="s">
        <v>49</v>
      </c>
      <c r="C36" s="120"/>
      <c r="D36" s="120"/>
      <c r="E36" s="120"/>
      <c r="F36" s="120"/>
      <c r="G36" s="120"/>
      <c r="H36" s="120"/>
      <c r="I36" s="120"/>
      <c r="J36" s="120"/>
      <c r="K36" s="120"/>
      <c r="L36" s="120"/>
      <c r="M36" s="120"/>
      <c r="N36" s="120"/>
      <c r="O36" s="120"/>
      <c r="P36" s="119"/>
      <c r="R36" s="115"/>
      <c r="S36" s="115"/>
      <c r="T36" s="115"/>
      <c r="U36" s="115"/>
      <c r="V36" s="115"/>
      <c r="W36" s="115"/>
      <c r="X36" s="115"/>
      <c r="Y36" s="115"/>
      <c r="Z36" s="115"/>
      <c r="AA36" s="114"/>
    </row>
    <row r="37" spans="2:37" s="113" customFormat="1" ht="13.5" x14ac:dyDescent="0.2">
      <c r="B37" s="120" t="s">
        <v>132</v>
      </c>
      <c r="C37" s="120"/>
      <c r="D37" s="120"/>
      <c r="E37" s="120"/>
      <c r="F37" s="120"/>
      <c r="G37" s="120"/>
      <c r="H37" s="120"/>
      <c r="I37" s="120"/>
      <c r="J37" s="120"/>
      <c r="K37" s="120"/>
      <c r="L37" s="120"/>
      <c r="M37" s="120"/>
      <c r="N37" s="120"/>
      <c r="O37" s="120"/>
      <c r="P37" s="119"/>
      <c r="R37" s="115"/>
      <c r="S37" s="115"/>
      <c r="T37" s="115"/>
      <c r="U37" s="115"/>
      <c r="V37" s="115"/>
      <c r="W37" s="115"/>
      <c r="X37" s="115"/>
      <c r="Y37" s="115"/>
      <c r="Z37" s="115"/>
      <c r="AA37" s="114"/>
    </row>
    <row r="38" spans="2:37" s="113" customFormat="1" ht="28.5" customHeight="1" x14ac:dyDescent="0.2">
      <c r="B38" s="147" t="s">
        <v>133</v>
      </c>
      <c r="C38" s="147"/>
      <c r="D38" s="147"/>
      <c r="E38" s="147"/>
      <c r="F38" s="147"/>
      <c r="G38" s="147"/>
      <c r="H38" s="147"/>
      <c r="I38" s="147"/>
      <c r="J38" s="147"/>
      <c r="K38" s="147"/>
      <c r="L38" s="147"/>
      <c r="M38" s="147"/>
      <c r="N38" s="147"/>
      <c r="O38" s="147"/>
      <c r="P38" s="147"/>
      <c r="R38" s="115"/>
      <c r="S38" s="115"/>
      <c r="T38" s="115"/>
      <c r="U38" s="115"/>
      <c r="V38" s="115"/>
      <c r="W38" s="115"/>
      <c r="X38" s="115"/>
      <c r="Y38" s="115"/>
      <c r="Z38" s="115"/>
      <c r="AA38" s="114"/>
    </row>
    <row r="39" spans="2:37" s="113" customFormat="1" ht="13.5" x14ac:dyDescent="0.2">
      <c r="B39" s="120" t="s">
        <v>51</v>
      </c>
      <c r="C39" s="120"/>
      <c r="D39" s="120"/>
      <c r="E39" s="120"/>
      <c r="F39" s="120"/>
      <c r="G39" s="120"/>
      <c r="H39" s="120"/>
      <c r="I39" s="120"/>
      <c r="J39" s="120"/>
      <c r="K39" s="120"/>
      <c r="L39" s="120"/>
      <c r="M39" s="120"/>
      <c r="N39" s="120"/>
      <c r="O39" s="120"/>
      <c r="P39" s="119"/>
      <c r="R39" s="115"/>
      <c r="S39" s="115"/>
      <c r="T39" s="115"/>
      <c r="U39" s="115"/>
      <c r="V39" s="115"/>
      <c r="W39" s="115"/>
      <c r="X39" s="115"/>
      <c r="Y39" s="115"/>
      <c r="Z39" s="115"/>
      <c r="AA39" s="114"/>
    </row>
    <row r="40" spans="2:37" s="113" customFormat="1" ht="13.5" x14ac:dyDescent="0.2">
      <c r="B40" s="121" t="str">
        <f>"Thus the investment calculated in the green box (if in US$)  would need to mobilize all riches produced in "&amp;ROUND(+D34/87000,2)&amp;" years in the World, or "&amp;ROUND(+D34/752,2)&amp;" years in Switzerland."</f>
        <v>Thus the investment calculated in the green box (if in US$)  would need to mobilize all riches produced in 0.97 years in the World, or 111.69 years in Switzerland.</v>
      </c>
      <c r="C40" s="120"/>
      <c r="D40" s="120"/>
      <c r="E40" s="120"/>
      <c r="F40" s="120"/>
      <c r="G40" s="120"/>
      <c r="H40" s="120"/>
      <c r="I40" s="120"/>
      <c r="J40" s="120"/>
      <c r="K40" s="120"/>
      <c r="L40" s="120"/>
      <c r="M40" s="120"/>
      <c r="N40" s="120"/>
      <c r="O40" s="120"/>
      <c r="P40" s="119"/>
      <c r="R40" s="115"/>
      <c r="S40" s="115"/>
      <c r="T40" s="115"/>
      <c r="U40" s="115"/>
      <c r="V40" s="115"/>
      <c r="W40" s="115"/>
      <c r="X40" s="115"/>
      <c r="Y40" s="115"/>
      <c r="Z40" s="115"/>
      <c r="AA40" s="114"/>
    </row>
    <row r="41" spans="2:37" s="113" customFormat="1" ht="13.5" x14ac:dyDescent="0.2">
      <c r="B41" s="121" t="str">
        <f>"and the investment calculated in the blue box (if in US$) would need to mobilize all riches produced in "&amp;ROUND(+M29/87000,2)&amp;" years in the World, or "&amp;ROUND(+M29/752,2)&amp;" years in Switzerland."</f>
        <v>and the investment calculated in the blue box (if in US$) would need to mobilize all riches produced in 0 years in the World, or 0.29 years in Switzerland.</v>
      </c>
      <c r="C41" s="120"/>
      <c r="D41" s="120"/>
      <c r="E41" s="120"/>
      <c r="F41" s="120"/>
      <c r="G41" s="120"/>
      <c r="H41" s="120"/>
      <c r="I41" s="120"/>
      <c r="J41" s="120"/>
      <c r="K41" s="120"/>
      <c r="L41" s="120"/>
      <c r="M41" s="120"/>
      <c r="N41" s="120"/>
      <c r="O41" s="120"/>
      <c r="P41" s="119"/>
      <c r="R41" s="115"/>
      <c r="S41" s="115"/>
      <c r="T41" s="115"/>
      <c r="U41" s="115"/>
      <c r="V41" s="115"/>
      <c r="W41" s="115"/>
      <c r="X41" s="115"/>
      <c r="Y41" s="115"/>
      <c r="Z41" s="115"/>
      <c r="AA41" s="114"/>
    </row>
    <row r="42" spans="2:37" s="113" customFormat="1" ht="13.5" x14ac:dyDescent="0.2">
      <c r="B42" s="120" t="s">
        <v>125</v>
      </c>
      <c r="C42" s="120"/>
      <c r="D42" s="120"/>
      <c r="E42" s="120"/>
      <c r="F42" s="120"/>
      <c r="G42" s="120"/>
      <c r="H42" s="120"/>
      <c r="I42" s="120"/>
      <c r="J42" s="120"/>
      <c r="K42" s="120"/>
      <c r="L42" s="120"/>
      <c r="M42" s="120"/>
      <c r="N42" s="120"/>
      <c r="O42" s="120"/>
      <c r="P42" s="119"/>
      <c r="R42" s="115"/>
      <c r="S42" s="115"/>
      <c r="T42" s="115"/>
      <c r="U42" s="115"/>
      <c r="V42" s="115"/>
      <c r="W42" s="115"/>
      <c r="X42" s="115"/>
      <c r="Y42" s="115"/>
      <c r="Z42" s="115"/>
      <c r="AA42" s="114"/>
    </row>
    <row r="43" spans="2:37" s="113" customFormat="1" ht="30" customHeight="1" x14ac:dyDescent="0.3">
      <c r="B43" s="147" t="s">
        <v>126</v>
      </c>
      <c r="C43" s="147"/>
      <c r="D43" s="147"/>
      <c r="E43" s="147"/>
      <c r="F43" s="147"/>
      <c r="G43" s="147"/>
      <c r="H43" s="147"/>
      <c r="I43" s="147"/>
      <c r="J43" s="147"/>
      <c r="K43" s="147"/>
      <c r="L43" s="147"/>
      <c r="M43" s="147"/>
      <c r="N43" s="147"/>
      <c r="O43" s="147"/>
      <c r="P43" s="147"/>
      <c r="R43" s="115"/>
      <c r="S43" s="115"/>
      <c r="T43" s="115"/>
      <c r="U43" s="115"/>
      <c r="V43" s="115"/>
      <c r="W43" s="115"/>
      <c r="X43" s="115"/>
      <c r="Y43" s="115"/>
      <c r="Z43" s="115"/>
      <c r="AA43" s="114"/>
      <c r="AC43" s="134" t="str">
        <f>"''SUPPLY MIX'' for "&amp;cap&amp;" TWh/a"</f>
        <v>''SUPPLY MIX'' for 60 TWh/a</v>
      </c>
      <c r="AK43" s="134" t="str">
        <f>"''INVESTMENT MIX'' for "&amp;cap&amp;" TWh/a"</f>
        <v>''INVESTMENT MIX'' for 60 TWh/a</v>
      </c>
    </row>
    <row r="44" spans="2:37" s="113" customFormat="1" ht="13.5" x14ac:dyDescent="0.2">
      <c r="B44" s="120" t="s">
        <v>53</v>
      </c>
      <c r="C44" s="120"/>
      <c r="D44" s="120"/>
      <c r="E44" s="120"/>
      <c r="F44" s="120"/>
      <c r="G44" s="120"/>
      <c r="H44" s="120"/>
      <c r="I44" s="120"/>
      <c r="J44" s="120"/>
      <c r="K44" s="120"/>
      <c r="L44" s="120"/>
      <c r="M44" s="120"/>
      <c r="N44" s="120"/>
      <c r="O44" s="120"/>
      <c r="P44" s="119"/>
      <c r="R44" s="115"/>
      <c r="S44" s="115"/>
      <c r="T44" s="115"/>
      <c r="U44" s="115"/>
      <c r="V44" s="115"/>
      <c r="W44" s="115"/>
      <c r="X44" s="115"/>
      <c r="Y44" s="115"/>
      <c r="Z44" s="115"/>
      <c r="AA44" s="114"/>
    </row>
    <row r="45" spans="2:37" s="113" customFormat="1" ht="13.5" x14ac:dyDescent="0.2">
      <c r="B45" s="120" t="s">
        <v>50</v>
      </c>
      <c r="C45" s="120"/>
      <c r="D45" s="120"/>
      <c r="E45" s="120"/>
      <c r="F45" s="120"/>
      <c r="G45" s="120"/>
      <c r="H45" s="120"/>
      <c r="I45" s="120"/>
      <c r="J45" s="120"/>
      <c r="K45" s="120"/>
      <c r="L45" s="120"/>
      <c r="M45" s="120"/>
      <c r="N45" s="120"/>
      <c r="O45" s="120"/>
      <c r="P45" s="119"/>
      <c r="R45" s="115"/>
      <c r="S45" s="115"/>
      <c r="T45" s="115"/>
      <c r="U45" s="115"/>
      <c r="V45" s="115"/>
      <c r="W45" s="115"/>
      <c r="X45" s="115"/>
      <c r="Y45" s="115"/>
      <c r="Z45" s="115"/>
      <c r="AA45" s="114"/>
    </row>
    <row r="46" spans="2:37" s="113" customFormat="1" ht="13.5" x14ac:dyDescent="0.2">
      <c r="B46" s="121" t="s">
        <v>134</v>
      </c>
      <c r="C46" s="120"/>
      <c r="D46" s="120"/>
      <c r="E46" s="120"/>
      <c r="F46" s="120"/>
      <c r="G46" s="120"/>
      <c r="H46" s="120"/>
      <c r="I46" s="120"/>
      <c r="J46" s="120"/>
      <c r="K46" s="120"/>
      <c r="L46" s="120"/>
      <c r="M46" s="120"/>
      <c r="N46" s="120"/>
      <c r="O46" s="120"/>
      <c r="P46" s="119"/>
      <c r="R46" s="115"/>
      <c r="S46" s="115"/>
      <c r="T46" s="115"/>
      <c r="U46" s="115"/>
      <c r="V46" s="115"/>
      <c r="W46" s="115"/>
      <c r="X46" s="115"/>
      <c r="Y46" s="115"/>
      <c r="Z46" s="115"/>
      <c r="AA46" s="114"/>
    </row>
    <row r="47" spans="2:37" s="113" customFormat="1" ht="13.5" x14ac:dyDescent="0.2">
      <c r="B47" s="121" t="s">
        <v>135</v>
      </c>
      <c r="C47" s="120"/>
      <c r="D47" s="120"/>
      <c r="E47" s="120"/>
      <c r="F47" s="120"/>
      <c r="G47" s="120"/>
      <c r="H47" s="120"/>
      <c r="I47" s="120"/>
      <c r="J47" s="120"/>
      <c r="K47" s="120"/>
      <c r="L47" s="120"/>
      <c r="M47" s="120"/>
      <c r="N47" s="120"/>
      <c r="O47" s="120"/>
      <c r="P47" s="119"/>
      <c r="R47" s="115"/>
      <c r="S47" s="115"/>
      <c r="T47" s="115"/>
      <c r="U47" s="115"/>
      <c r="V47" s="115"/>
      <c r="W47" s="115"/>
      <c r="X47" s="115"/>
      <c r="Y47" s="115"/>
      <c r="Z47" s="115"/>
      <c r="AA47" s="114"/>
    </row>
    <row r="48" spans="2:37" s="113" customFormat="1" ht="13.5" x14ac:dyDescent="0.2">
      <c r="B48" s="121" t="s">
        <v>136</v>
      </c>
      <c r="C48" s="120"/>
      <c r="D48" s="120"/>
      <c r="E48" s="120"/>
      <c r="F48" s="120"/>
      <c r="G48" s="120"/>
      <c r="H48" s="120"/>
      <c r="I48" s="120"/>
      <c r="J48" s="120"/>
      <c r="K48" s="120"/>
      <c r="L48" s="120"/>
      <c r="M48" s="120"/>
      <c r="N48" s="120"/>
      <c r="O48" s="120"/>
      <c r="P48" s="119"/>
      <c r="R48" s="115"/>
      <c r="S48" s="115"/>
      <c r="T48" s="115"/>
      <c r="U48" s="115"/>
      <c r="V48" s="115"/>
      <c r="W48" s="115"/>
      <c r="X48" s="115"/>
      <c r="Y48" s="115"/>
      <c r="Z48" s="115"/>
      <c r="AA48" s="114"/>
    </row>
    <row r="49" spans="2:26" s="113" customFormat="1" ht="13.5" x14ac:dyDescent="0.2">
      <c r="B49" s="121" t="s">
        <v>94</v>
      </c>
      <c r="C49" s="120"/>
      <c r="D49" s="120"/>
      <c r="E49" s="120"/>
      <c r="F49" s="120"/>
      <c r="G49" s="120"/>
      <c r="H49" s="120"/>
      <c r="I49" s="120"/>
      <c r="J49" s="120"/>
      <c r="K49" s="120"/>
      <c r="L49" s="120"/>
      <c r="M49" s="120"/>
      <c r="N49" s="120"/>
      <c r="O49" s="120"/>
      <c r="P49" s="119"/>
      <c r="R49" s="115"/>
      <c r="S49" s="115"/>
      <c r="T49" s="115"/>
      <c r="U49" s="115"/>
      <c r="V49" s="115"/>
      <c r="W49" s="115"/>
      <c r="X49" s="115"/>
      <c r="Y49" s="115"/>
      <c r="Z49" s="115"/>
    </row>
    <row r="50" spans="2:26" s="113" customFormat="1" ht="13.5" x14ac:dyDescent="0.2">
      <c r="B50" s="121" t="s">
        <v>54</v>
      </c>
      <c r="C50" s="120"/>
      <c r="D50" s="120"/>
      <c r="E50" s="120"/>
      <c r="F50" s="120"/>
      <c r="G50" s="120"/>
      <c r="H50" s="120"/>
      <c r="I50" s="120"/>
      <c r="J50" s="120"/>
      <c r="K50" s="120"/>
      <c r="L50" s="120"/>
      <c r="M50" s="120"/>
      <c r="N50" s="120"/>
      <c r="O50" s="120"/>
      <c r="P50" s="119"/>
    </row>
    <row r="51" spans="2:26" s="113" customFormat="1" ht="30" customHeight="1" x14ac:dyDescent="0.2">
      <c r="B51" s="136" t="s">
        <v>128</v>
      </c>
      <c r="C51" s="136"/>
      <c r="D51" s="136"/>
      <c r="E51" s="136"/>
      <c r="F51" s="136"/>
      <c r="G51" s="136"/>
      <c r="H51" s="136"/>
      <c r="I51" s="136"/>
      <c r="J51" s="136"/>
      <c r="K51" s="136"/>
      <c r="L51" s="136"/>
      <c r="M51" s="136"/>
      <c r="N51" s="136"/>
      <c r="O51" s="136"/>
      <c r="P51" s="136"/>
    </row>
    <row r="52" spans="2:26" s="113" customFormat="1" ht="13.5" x14ac:dyDescent="0.2">
      <c r="B52" s="120" t="s">
        <v>137</v>
      </c>
      <c r="C52" s="120"/>
      <c r="D52" s="120"/>
      <c r="E52" s="120"/>
      <c r="F52" s="120"/>
      <c r="G52" s="120"/>
      <c r="H52" s="120"/>
      <c r="I52" s="120"/>
      <c r="J52" s="120"/>
      <c r="K52" s="120"/>
      <c r="L52" s="120"/>
      <c r="M52" s="120"/>
      <c r="N52" s="120"/>
      <c r="O52" s="120"/>
      <c r="P52" s="119"/>
    </row>
    <row r="53" spans="2:26" s="113" customFormat="1" ht="7.5" customHeight="1" x14ac:dyDescent="0.2">
      <c r="B53" s="120"/>
      <c r="C53" s="120"/>
      <c r="D53" s="120"/>
      <c r="E53" s="120"/>
      <c r="F53" s="120"/>
      <c r="G53" s="120"/>
      <c r="H53" s="120"/>
      <c r="I53" s="120"/>
      <c r="J53" s="120"/>
      <c r="K53" s="120"/>
      <c r="L53" s="120"/>
      <c r="M53" s="120"/>
      <c r="N53" s="120"/>
      <c r="O53" s="120"/>
      <c r="P53" s="119"/>
    </row>
    <row r="54" spans="2:26" s="113" customFormat="1" ht="13.5" x14ac:dyDescent="0.2">
      <c r="B54" s="120" t="s">
        <v>55</v>
      </c>
      <c r="C54" s="120"/>
      <c r="D54" s="120"/>
      <c r="E54" s="120"/>
      <c r="F54" s="120"/>
      <c r="G54" s="120"/>
      <c r="H54" s="120"/>
      <c r="I54" s="120"/>
      <c r="J54" s="120"/>
      <c r="K54" s="120"/>
      <c r="L54" s="120"/>
      <c r="M54" s="120"/>
      <c r="N54" s="120"/>
      <c r="O54" s="120"/>
      <c r="P54" s="119"/>
    </row>
    <row r="55" spans="2:26" s="113" customFormat="1" ht="6.75" customHeight="1" x14ac:dyDescent="0.2">
      <c r="B55" s="120"/>
      <c r="C55" s="120"/>
      <c r="D55" s="120"/>
      <c r="E55" s="120"/>
      <c r="F55" s="120"/>
      <c r="G55" s="120"/>
      <c r="H55" s="120"/>
      <c r="I55" s="120"/>
      <c r="J55" s="120"/>
      <c r="K55" s="120"/>
      <c r="L55" s="120"/>
      <c r="M55" s="120"/>
      <c r="N55" s="120"/>
      <c r="O55" s="120"/>
      <c r="P55" s="119"/>
    </row>
    <row r="56" spans="2:26" s="113" customFormat="1" ht="14.25" x14ac:dyDescent="0.25">
      <c r="B56" s="120" t="s">
        <v>129</v>
      </c>
      <c r="C56" s="120"/>
      <c r="D56" s="120"/>
      <c r="E56" s="120"/>
      <c r="F56" s="120"/>
      <c r="G56" s="120"/>
      <c r="H56" s="120"/>
      <c r="I56" s="120"/>
      <c r="J56" s="120"/>
      <c r="K56" s="120"/>
      <c r="L56" s="120"/>
      <c r="M56" s="120"/>
      <c r="N56" s="120"/>
      <c r="O56" s="120"/>
      <c r="P56" s="119"/>
    </row>
    <row r="57" spans="2:26" s="113" customFormat="1" ht="13.5" x14ac:dyDescent="0.2">
      <c r="B57" s="120" t="s">
        <v>127</v>
      </c>
      <c r="C57" s="120"/>
      <c r="D57" s="120"/>
      <c r="E57" s="120"/>
      <c r="F57" s="120"/>
      <c r="G57" s="120"/>
      <c r="H57" s="120"/>
      <c r="I57" s="120"/>
      <c r="J57" s="120"/>
      <c r="K57" s="120"/>
      <c r="L57" s="120"/>
      <c r="M57" s="120"/>
      <c r="N57" s="120"/>
      <c r="O57" s="120"/>
      <c r="P57" s="119"/>
    </row>
    <row r="58" spans="2:26" s="113" customFormat="1" ht="13.5" x14ac:dyDescent="0.2">
      <c r="B58" s="120" t="s">
        <v>138</v>
      </c>
      <c r="C58" s="120"/>
      <c r="D58" s="120"/>
      <c r="E58" s="120"/>
      <c r="F58" s="120"/>
      <c r="G58" s="120"/>
      <c r="H58" s="120"/>
      <c r="I58" s="120"/>
      <c r="J58" s="120"/>
      <c r="K58" s="120"/>
      <c r="L58" s="120"/>
      <c r="M58" s="120"/>
      <c r="N58" s="120"/>
      <c r="O58" s="120"/>
      <c r="P58" s="119"/>
    </row>
    <row r="63" spans="2:26" x14ac:dyDescent="0.25">
      <c r="B63" s="129" t="s">
        <v>151</v>
      </c>
    </row>
    <row r="64" spans="2:26" x14ac:dyDescent="0.25">
      <c r="B64" s="127" t="s">
        <v>140</v>
      </c>
    </row>
    <row r="65" spans="2:2" x14ac:dyDescent="0.25">
      <c r="B65" s="128" t="s">
        <v>160</v>
      </c>
    </row>
    <row r="66" spans="2:2" x14ac:dyDescent="0.25">
      <c r="B66" s="127" t="s">
        <v>141</v>
      </c>
    </row>
    <row r="67" spans="2:2" x14ac:dyDescent="0.25">
      <c r="B67" s="128" t="s">
        <v>142</v>
      </c>
    </row>
    <row r="68" spans="2:2" x14ac:dyDescent="0.25">
      <c r="B68" s="128" t="s">
        <v>143</v>
      </c>
    </row>
    <row r="69" spans="2:2" x14ac:dyDescent="0.25">
      <c r="B69" s="128" t="s">
        <v>144</v>
      </c>
    </row>
    <row r="70" spans="2:2" x14ac:dyDescent="0.25">
      <c r="B70" s="127" t="s">
        <v>145</v>
      </c>
    </row>
    <row r="71" spans="2:2" x14ac:dyDescent="0.25">
      <c r="B71" s="128" t="s">
        <v>146</v>
      </c>
    </row>
    <row r="72" spans="2:2" x14ac:dyDescent="0.25">
      <c r="B72" s="127" t="s">
        <v>147</v>
      </c>
    </row>
    <row r="73" spans="2:2" ht="18" customHeight="1" x14ac:dyDescent="0.25">
      <c r="B73" s="128" t="s">
        <v>152</v>
      </c>
    </row>
    <row r="74" spans="2:2" ht="18" customHeight="1" x14ac:dyDescent="0.25">
      <c r="B74" s="132" t="s">
        <v>155</v>
      </c>
    </row>
    <row r="75" spans="2:2" ht="18" customHeight="1" x14ac:dyDescent="0.25">
      <c r="B75" s="128" t="s">
        <v>156</v>
      </c>
    </row>
    <row r="76" spans="2:2" x14ac:dyDescent="0.25">
      <c r="B76" s="127" t="s">
        <v>157</v>
      </c>
    </row>
    <row r="77" spans="2:2" x14ac:dyDescent="0.25">
      <c r="B77" s="128" t="s">
        <v>158</v>
      </c>
    </row>
    <row r="78" spans="2:2" x14ac:dyDescent="0.25">
      <c r="B78" s="127" t="s">
        <v>148</v>
      </c>
    </row>
    <row r="79" spans="2:2" x14ac:dyDescent="0.25">
      <c r="B79" s="128" t="s">
        <v>159</v>
      </c>
    </row>
    <row r="80" spans="2:2" x14ac:dyDescent="0.25">
      <c r="B80" s="128" t="s">
        <v>149</v>
      </c>
    </row>
    <row r="81" spans="2:2" x14ac:dyDescent="0.25">
      <c r="B81" s="128" t="s">
        <v>150</v>
      </c>
    </row>
    <row r="82" spans="2:2" x14ac:dyDescent="0.25">
      <c r="B82" s="127" t="s">
        <v>153</v>
      </c>
    </row>
    <row r="83" spans="2:2" x14ac:dyDescent="0.25">
      <c r="B83" s="3" t="s">
        <v>161</v>
      </c>
    </row>
    <row r="84" spans="2:2" x14ac:dyDescent="0.25">
      <c r="B84" s="14" t="s">
        <v>154</v>
      </c>
    </row>
    <row r="85" spans="2:2" x14ac:dyDescent="0.25">
      <c r="B85" s="14" t="str">
        <f>"The whole to serve "&amp;cap&amp;" TWh/year to the consumers"</f>
        <v>The whole to serve 60 TWh/year to the consumers</v>
      </c>
    </row>
  </sheetData>
  <sheetProtection algorithmName="SHA-512" hashValue="8gsO7gETpBxL1Tm1VZTMt+0Ik4u1Vn9/AIr5miaifRS6lRGyEW57a0Fy+OOp6QSasFBii0EtyV4VJK6TuGYsgQ==" saltValue="WFikbeAXA+OazM758Q5QkQ==" spinCount="100000" sheet="1"/>
  <scenarios current="3" sqref="M29">
    <scenario name="40 TWh" locked="1" count="1" user="Michel de Rougemont" comment="Créé par Michel de Rougemont le 16.11.2021">
      <inputCells r="D7" val="40" numFmtId="165"/>
    </scenario>
    <scenario name="50 TWh" locked="1" count="1" user="Michel de Rougemont" comment="Créé par Michel de Rougemont le 16.11.2021">
      <inputCells r="D7" val="50" numFmtId="165"/>
    </scenario>
    <scenario name="60 TWh" locked="1" count="1" user="Michel de Rougemont" comment="Créé par Michel de Rougemont le 16.11.2021">
      <inputCells r="D7" val="60" numFmtId="165"/>
    </scenario>
    <scenario name="70 TWh" locked="1" count="1" user="Michel de Rougemont" comment="Créé par Michel de Rougemont le 16.11.2021_x000a_Modifié par: Michel de Rougemont le 16.11.2021">
      <inputCells r="D7" val="70" numFmtId="165"/>
    </scenario>
  </scenarios>
  <mergeCells count="24">
    <mergeCell ref="B32:C32"/>
    <mergeCell ref="B33:C33"/>
    <mergeCell ref="B26:C26"/>
    <mergeCell ref="B27:C27"/>
    <mergeCell ref="B28:C28"/>
    <mergeCell ref="B29:C29"/>
    <mergeCell ref="B31:C31"/>
    <mergeCell ref="B30:C30"/>
    <mergeCell ref="B51:P51"/>
    <mergeCell ref="B2:P2"/>
    <mergeCell ref="B3:P3"/>
    <mergeCell ref="B25:C25"/>
    <mergeCell ref="B7:C7"/>
    <mergeCell ref="I7:M7"/>
    <mergeCell ref="N7:O7"/>
    <mergeCell ref="B19:E19"/>
    <mergeCell ref="B20:C20"/>
    <mergeCell ref="B21:C21"/>
    <mergeCell ref="B22:C22"/>
    <mergeCell ref="B23:C23"/>
    <mergeCell ref="B24:C24"/>
    <mergeCell ref="I19:L19"/>
    <mergeCell ref="B43:P43"/>
    <mergeCell ref="B38:P38"/>
  </mergeCells>
  <printOptions horizontalCentered="1"/>
  <pageMargins left="0.23622047244094491" right="0.23622047244094491" top="0.74803149606299213" bottom="0.74803149606299213" header="0.31496062992125984" footer="0.31496062992125984"/>
  <pageSetup paperSize="9" scale="74" fitToHeight="0" orientation="landscape" r:id="rId1"/>
  <headerFooter>
    <oddHeader>&amp;R&amp;G</oddHeader>
    <oddFooter>&amp;L&amp;"Segoe UI Light,Normal"&amp;10© 2021. Michel de Rougemont, Kaiseraugst&amp;R11 novembre 2021</oddFooter>
  </headerFooter>
  <rowBreaks count="1" manualBreakCount="1">
    <brk id="17"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4D7F-4C92-4003-A80A-453FB611508B}">
  <sheetPr>
    <pageSetUpPr fitToPage="1"/>
  </sheetPr>
  <dimension ref="A1:P41"/>
  <sheetViews>
    <sheetView workbookViewId="0">
      <selection activeCell="C24" sqref="C24"/>
    </sheetView>
  </sheetViews>
  <sheetFormatPr baseColWidth="10" defaultRowHeight="16.5" x14ac:dyDescent="0.3"/>
  <cols>
    <col min="1" max="1" width="11.42578125" style="19"/>
    <col min="2" max="2" width="18" style="19" customWidth="1"/>
    <col min="3" max="6" width="11.42578125" style="19"/>
    <col min="7" max="7" width="18" style="21" customWidth="1"/>
    <col min="8" max="9" width="12.7109375" style="19" customWidth="1"/>
    <col min="10" max="10" width="14.85546875" style="19" customWidth="1"/>
    <col min="11" max="11" width="15.85546875" style="20" bestFit="1" customWidth="1"/>
    <col min="12" max="12" width="11.42578125" style="19"/>
    <col min="13" max="13" width="12.140625" style="19" bestFit="1" customWidth="1"/>
    <col min="14" max="16384" width="11.42578125" style="19"/>
  </cols>
  <sheetData>
    <row r="1" spans="1:16" s="45" customFormat="1" ht="25.5" x14ac:dyDescent="0.45">
      <c r="A1" s="44" t="s">
        <v>87</v>
      </c>
      <c r="G1" s="44" t="s">
        <v>112</v>
      </c>
      <c r="K1" s="46"/>
    </row>
    <row r="2" spans="1:16" x14ac:dyDescent="0.3">
      <c r="A2" s="32" t="s">
        <v>86</v>
      </c>
      <c r="B2" s="32"/>
      <c r="C2" s="31">
        <v>2020</v>
      </c>
      <c r="D2" s="31"/>
      <c r="E2" s="31" t="s">
        <v>85</v>
      </c>
      <c r="F2" s="31"/>
      <c r="G2" s="34" t="s">
        <v>84</v>
      </c>
      <c r="H2" s="31" t="s">
        <v>83</v>
      </c>
      <c r="I2" s="31"/>
      <c r="J2" s="31"/>
      <c r="K2" s="33"/>
      <c r="L2" s="31"/>
      <c r="M2" s="31"/>
      <c r="N2" s="31"/>
      <c r="O2" s="31"/>
      <c r="P2" s="31"/>
    </row>
    <row r="3" spans="1:16" x14ac:dyDescent="0.3">
      <c r="A3" s="32"/>
      <c r="B3" s="32"/>
      <c r="C3" s="31"/>
      <c r="D3" s="31"/>
      <c r="E3" s="31"/>
      <c r="F3" s="31"/>
      <c r="H3" s="29" t="s">
        <v>82</v>
      </c>
      <c r="I3" s="29" t="s">
        <v>81</v>
      </c>
      <c r="K3" s="19"/>
    </row>
    <row r="4" spans="1:16" x14ac:dyDescent="0.3">
      <c r="A4" s="19" t="s">
        <v>79</v>
      </c>
      <c r="C4" s="26">
        <v>747400</v>
      </c>
      <c r="D4" s="28" t="s">
        <v>93</v>
      </c>
      <c r="E4" s="26">
        <v>843694</v>
      </c>
      <c r="F4" s="28" t="s">
        <v>78</v>
      </c>
      <c r="K4" s="30" t="s">
        <v>93</v>
      </c>
      <c r="L4" s="29" t="s">
        <v>80</v>
      </c>
    </row>
    <row r="5" spans="1:16" x14ac:dyDescent="0.3">
      <c r="A5" s="19" t="s">
        <v>77</v>
      </c>
      <c r="C5" s="25">
        <v>0.13528231201498528</v>
      </c>
      <c r="D5" s="26">
        <f>+C5*$C$4</f>
        <v>101110</v>
      </c>
      <c r="E5" s="25">
        <v>0.1484211100233023</v>
      </c>
      <c r="F5" s="21">
        <f>+E5*$E$4</f>
        <v>125222.00000000001</v>
      </c>
      <c r="L5" s="22"/>
    </row>
    <row r="6" spans="1:16" x14ac:dyDescent="0.3">
      <c r="A6" s="27" t="s">
        <v>76</v>
      </c>
      <c r="C6" s="25"/>
      <c r="D6" s="26"/>
      <c r="E6" s="25"/>
      <c r="F6" s="21"/>
      <c r="G6" s="37">
        <v>60000</v>
      </c>
      <c r="H6" s="38">
        <v>1</v>
      </c>
      <c r="I6" s="39">
        <v>3</v>
      </c>
      <c r="J6" s="23" t="s">
        <v>88</v>
      </c>
      <c r="K6" s="20">
        <f>+G6*H6/I6</f>
        <v>20000</v>
      </c>
      <c r="L6" s="22">
        <f>+K6/3600</f>
        <v>5.5555555555555554</v>
      </c>
    </row>
    <row r="7" spans="1:16" x14ac:dyDescent="0.3">
      <c r="A7" s="27" t="s">
        <v>75</v>
      </c>
      <c r="C7" s="25"/>
      <c r="D7" s="26"/>
      <c r="E7" s="25"/>
      <c r="F7" s="21"/>
      <c r="G7" s="37">
        <v>20000</v>
      </c>
      <c r="H7" s="38">
        <v>1</v>
      </c>
      <c r="I7" s="39">
        <v>3</v>
      </c>
      <c r="J7" s="23" t="s">
        <v>88</v>
      </c>
      <c r="K7" s="20">
        <f>+G7*H7/I7</f>
        <v>6666.666666666667</v>
      </c>
      <c r="L7" s="22">
        <f>+K7/3600</f>
        <v>1.8518518518518519</v>
      </c>
    </row>
    <row r="8" spans="1:16" x14ac:dyDescent="0.3">
      <c r="A8" s="27" t="s">
        <v>67</v>
      </c>
      <c r="C8" s="25"/>
      <c r="D8" s="26"/>
      <c r="E8" s="25"/>
      <c r="F8" s="21"/>
      <c r="H8" s="38">
        <v>-0.2</v>
      </c>
      <c r="K8" s="20">
        <f>+(G7+G6)*H8</f>
        <v>-16000</v>
      </c>
      <c r="L8" s="22">
        <f>+K8/3600</f>
        <v>-4.4444444444444446</v>
      </c>
    </row>
    <row r="9" spans="1:16" x14ac:dyDescent="0.3">
      <c r="A9" s="27" t="s">
        <v>74</v>
      </c>
      <c r="C9" s="25"/>
      <c r="D9" s="26"/>
      <c r="E9" s="25"/>
      <c r="F9" s="21"/>
      <c r="L9" s="22"/>
    </row>
    <row r="10" spans="1:16" x14ac:dyDescent="0.3">
      <c r="A10" s="19" t="s">
        <v>73</v>
      </c>
      <c r="C10" s="25">
        <v>0.30334492908750332</v>
      </c>
      <c r="D10" s="26">
        <f>+C10*$C$4</f>
        <v>226719.99999999997</v>
      </c>
      <c r="E10" s="25">
        <v>0.34636017323816454</v>
      </c>
      <c r="F10" s="21">
        <f>+E10*$E$4</f>
        <v>292222</v>
      </c>
      <c r="G10" s="37">
        <v>300000</v>
      </c>
      <c r="H10" s="38">
        <v>0.35</v>
      </c>
      <c r="I10" s="38">
        <v>0.8</v>
      </c>
      <c r="J10" s="24" t="s">
        <v>72</v>
      </c>
      <c r="K10" s="20">
        <f>+G10*H10/I10</f>
        <v>131250</v>
      </c>
      <c r="L10" s="22">
        <f t="shared" ref="L10:L15" si="0">+K10/3600</f>
        <v>36.458333333333336</v>
      </c>
    </row>
    <row r="11" spans="1:16" x14ac:dyDescent="0.3">
      <c r="A11" s="27" t="s">
        <v>67</v>
      </c>
      <c r="C11" s="25"/>
      <c r="D11" s="26"/>
      <c r="E11" s="25"/>
      <c r="F11" s="21"/>
      <c r="H11" s="38">
        <v>-0.2</v>
      </c>
      <c r="K11" s="20">
        <f>+H11*G10</f>
        <v>-60000</v>
      </c>
      <c r="L11" s="22">
        <f t="shared" si="0"/>
        <v>-16.666666666666668</v>
      </c>
    </row>
    <row r="12" spans="1:16" x14ac:dyDescent="0.3">
      <c r="A12" s="19" t="s">
        <v>71</v>
      </c>
      <c r="C12" s="25">
        <v>0.26835697083221838</v>
      </c>
      <c r="D12" s="26">
        <f>+C12*$C$4</f>
        <v>200570.00000000003</v>
      </c>
      <c r="E12" s="25">
        <v>0.24732426685504461</v>
      </c>
      <c r="F12" s="21">
        <v>236528.63999999998</v>
      </c>
      <c r="L12" s="22">
        <f t="shared" si="0"/>
        <v>0</v>
      </c>
    </row>
    <row r="13" spans="1:16" x14ac:dyDescent="0.3">
      <c r="A13" s="27" t="s">
        <v>70</v>
      </c>
      <c r="C13" s="25"/>
      <c r="D13" s="26"/>
      <c r="E13" s="25"/>
      <c r="F13" s="21"/>
      <c r="G13" s="37">
        <f>23*3600</f>
        <v>82800</v>
      </c>
      <c r="H13" s="38">
        <v>1</v>
      </c>
      <c r="I13" s="38">
        <v>1</v>
      </c>
      <c r="K13" s="20">
        <f>+G13*H13/I13</f>
        <v>82800</v>
      </c>
      <c r="L13" s="22">
        <f t="shared" si="0"/>
        <v>23</v>
      </c>
    </row>
    <row r="14" spans="1:16" x14ac:dyDescent="0.3">
      <c r="A14" s="19" t="s">
        <v>69</v>
      </c>
      <c r="C14" s="25">
        <v>0.151003478726251</v>
      </c>
      <c r="D14" s="26">
        <f>+C14*$C$4</f>
        <v>112860</v>
      </c>
      <c r="E14" s="25">
        <v>0.13665381050475647</v>
      </c>
      <c r="F14" s="21">
        <f>+E14*$E$4</f>
        <v>115294.00000000001</v>
      </c>
      <c r="G14" s="37">
        <v>100000</v>
      </c>
      <c r="H14" s="38">
        <v>0.6</v>
      </c>
      <c r="I14" s="38">
        <v>2</v>
      </c>
      <c r="J14" s="19" t="s">
        <v>68</v>
      </c>
      <c r="K14" s="20">
        <f>+G14*H14/I14</f>
        <v>30000</v>
      </c>
      <c r="L14" s="22">
        <f t="shared" si="0"/>
        <v>8.3333333333333339</v>
      </c>
    </row>
    <row r="15" spans="1:16" x14ac:dyDescent="0.3">
      <c r="A15" s="27" t="s">
        <v>67</v>
      </c>
      <c r="C15" s="25"/>
      <c r="D15" s="26"/>
      <c r="E15" s="25"/>
      <c r="F15" s="21"/>
      <c r="H15" s="38">
        <v>-0.2</v>
      </c>
      <c r="K15" s="20">
        <f>+H15*G14</f>
        <v>-20000</v>
      </c>
      <c r="L15" s="22">
        <f t="shared" si="0"/>
        <v>-5.5555555555555554</v>
      </c>
    </row>
    <row r="16" spans="1:16" x14ac:dyDescent="0.3">
      <c r="A16" s="19" t="s">
        <v>66</v>
      </c>
      <c r="C16" s="25">
        <v>4.8969761841048971E-3</v>
      </c>
      <c r="D16" s="26">
        <f>+C16*$C$4</f>
        <v>3660</v>
      </c>
      <c r="E16" s="25">
        <v>5.3834684139036195E-3</v>
      </c>
      <c r="F16" s="21">
        <f>+E16*$E$4</f>
        <v>4542</v>
      </c>
      <c r="L16" s="22"/>
    </row>
    <row r="17" spans="1:13" x14ac:dyDescent="0.3">
      <c r="A17" s="19" t="s">
        <v>65</v>
      </c>
      <c r="C17" s="25">
        <v>5.2823120149852826E-2</v>
      </c>
      <c r="D17" s="26">
        <f>+C17*$C$4</f>
        <v>39480</v>
      </c>
      <c r="E17" s="25">
        <v>4.8678786384637081E-2</v>
      </c>
      <c r="F17" s="21">
        <f>+E17*$E$4</f>
        <v>41070</v>
      </c>
      <c r="L17" s="22"/>
    </row>
    <row r="18" spans="1:13" x14ac:dyDescent="0.3">
      <c r="A18" s="19" t="s">
        <v>64</v>
      </c>
      <c r="C18" s="25">
        <v>2.8191062349478192E-2</v>
      </c>
      <c r="D18" s="26">
        <f>+C18*$C$4</f>
        <v>21070</v>
      </c>
      <c r="E18" s="25">
        <v>2.3292805211368103E-2</v>
      </c>
      <c r="F18" s="21">
        <f>+E18*$E$4</f>
        <v>19652</v>
      </c>
      <c r="L18" s="22"/>
    </row>
    <row r="19" spans="1:13" x14ac:dyDescent="0.3">
      <c r="A19" s="19" t="s">
        <v>63</v>
      </c>
      <c r="C19" s="25">
        <v>1.5400053518865401E-2</v>
      </c>
      <c r="D19" s="26">
        <f>+C19*$C$4</f>
        <v>11510</v>
      </c>
      <c r="E19" s="25">
        <v>1.3222803528293433E-2</v>
      </c>
      <c r="F19" s="21">
        <f>+E19*$E$4</f>
        <v>11156</v>
      </c>
      <c r="L19" s="22"/>
    </row>
    <row r="20" spans="1:13" x14ac:dyDescent="0.3">
      <c r="A20" s="19" t="s">
        <v>62</v>
      </c>
      <c r="C20" s="25">
        <v>4.0701097136740701E-2</v>
      </c>
      <c r="D20" s="26">
        <f>+C20*$C$4</f>
        <v>30420</v>
      </c>
      <c r="E20" s="25">
        <v>3.0662775840529861E-2</v>
      </c>
      <c r="F20" s="21">
        <f>+E20*$E$4</f>
        <v>25870</v>
      </c>
      <c r="L20" s="22"/>
    </row>
    <row r="21" spans="1:13" x14ac:dyDescent="0.3">
      <c r="K21" s="41" t="s">
        <v>97</v>
      </c>
      <c r="L21" s="42" t="s">
        <v>96</v>
      </c>
    </row>
    <row r="22" spans="1:13" x14ac:dyDescent="0.3">
      <c r="A22" s="19" t="s">
        <v>61</v>
      </c>
      <c r="G22" s="19"/>
      <c r="K22" s="20">
        <f>SUM(K5:K20)</f>
        <v>174716.66666666666</v>
      </c>
      <c r="L22" s="22">
        <f>+K22/3600</f>
        <v>48.532407407407405</v>
      </c>
    </row>
    <row r="23" spans="1:13" ht="17.25" thickBot="1" x14ac:dyDescent="0.35">
      <c r="A23" s="19" t="s">
        <v>59</v>
      </c>
      <c r="C23" s="148">
        <v>0.01</v>
      </c>
      <c r="D23" s="19" t="s">
        <v>58</v>
      </c>
      <c r="E23" s="19" t="s">
        <v>57</v>
      </c>
      <c r="F23" s="38">
        <v>0.5</v>
      </c>
      <c r="G23" s="19" t="s">
        <v>92</v>
      </c>
      <c r="J23" s="23">
        <f>(1+F23*C23)^30-1</f>
        <v>0.16140008289534058</v>
      </c>
      <c r="K23" s="20">
        <f>J23*(K22+F12-K13)</f>
        <v>53011.099722585554</v>
      </c>
      <c r="L23" s="22">
        <f>+K23/3600</f>
        <v>14.725305478495986</v>
      </c>
    </row>
    <row r="24" spans="1:13" ht="17.25" thickBot="1" x14ac:dyDescent="0.35">
      <c r="A24" s="31" t="s">
        <v>89</v>
      </c>
      <c r="B24" s="31"/>
      <c r="C24" s="31"/>
      <c r="D24" s="31"/>
      <c r="E24" s="31"/>
      <c r="F24" s="31"/>
      <c r="G24" s="34"/>
      <c r="H24" s="31"/>
      <c r="I24" s="31"/>
      <c r="J24" s="31"/>
      <c r="K24" s="35">
        <f>+K22+K23</f>
        <v>227727.76638925221</v>
      </c>
      <c r="L24" s="40">
        <f>+K24/3600</f>
        <v>63.257712885903395</v>
      </c>
    </row>
    <row r="25" spans="1:13" s="31" customFormat="1" x14ac:dyDescent="0.3">
      <c r="A25" s="19" t="s">
        <v>60</v>
      </c>
      <c r="B25" s="19"/>
      <c r="C25" s="19"/>
      <c r="D25" s="19"/>
      <c r="E25" s="19"/>
      <c r="F25" s="19"/>
      <c r="G25" s="19"/>
      <c r="H25" s="19"/>
      <c r="I25" s="19"/>
      <c r="J25" s="19"/>
      <c r="K25" s="20">
        <f>+K22+F12-K13+K23</f>
        <v>381456.40638925217</v>
      </c>
      <c r="L25" s="22">
        <f>+K25/3600</f>
        <v>105.96011288590338</v>
      </c>
      <c r="M25" s="36"/>
    </row>
    <row r="27" spans="1:13" x14ac:dyDescent="0.3">
      <c r="A27" s="31" t="s">
        <v>49</v>
      </c>
      <c r="G27" s="19"/>
      <c r="K27" s="19"/>
    </row>
    <row r="28" spans="1:13" x14ac:dyDescent="0.3">
      <c r="A28" s="19" t="s">
        <v>98</v>
      </c>
    </row>
    <row r="29" spans="1:13" x14ac:dyDescent="0.3">
      <c r="A29" s="19" t="str">
        <f>"Chauffage : le mazout ou le gaz sont remplacés par des pompes à chaleur ayant un COP de "&amp;ROUND(I6,1)&amp;" ( rapport chaleur échangée/énergie fournie)."</f>
        <v>Chauffage : le mazout ou le gaz sont remplacés par des pompes à chaleur ayant un COP de 3 ( rapport chaleur échangée/énergie fournie).</v>
      </c>
    </row>
    <row r="30" spans="1:13" x14ac:dyDescent="0.3">
      <c r="A30" s="19" t="str">
        <f>"Véhicules: rendement thermique de "&amp;H10*100&amp;"% contre rendement électrique de "&amp;I10*100&amp;"% (charge et utilisation),"</f>
        <v>Véhicules: rendement thermique de 35% contre rendement électrique de 80% (charge et utilisation),</v>
      </c>
    </row>
    <row r="31" spans="1:13" x14ac:dyDescent="0.3">
      <c r="A31" s="43" t="s">
        <v>100</v>
      </c>
    </row>
    <row r="32" spans="1:13" x14ac:dyDescent="0.3">
      <c r="A32" s="19" t="s">
        <v>99</v>
      </c>
    </row>
    <row r="33" spans="1:1" x14ac:dyDescent="0.3">
      <c r="A33" s="19" t="s">
        <v>101</v>
      </c>
    </row>
    <row r="34" spans="1:1" x14ac:dyDescent="0.3">
      <c r="A34" s="19" t="str">
        <f>"Électricité: donnée de production "&amp; ROUND(F12,0)&amp;" TJ (= "&amp;ROUND(F12/3600,1)&amp;" TWh) plutôt que de consommation 208 666 TJ, car consommations propres (transport et pompage-turbinage)."</f>
        <v>Électricité: donnée de production 236529 TJ (= 65.7 TWh) plutôt que de consommation 208 666 TJ, car consommations propres (transport et pompage-turbinage).</v>
      </c>
    </row>
    <row r="35" spans="1:1" x14ac:dyDescent="0.3">
      <c r="A35" s="19" t="s">
        <v>102</v>
      </c>
    </row>
    <row r="36" spans="1:1" x14ac:dyDescent="0.3">
      <c r="A36" s="19" t="s">
        <v>103</v>
      </c>
    </row>
    <row r="37" spans="1:1" x14ac:dyDescent="0.3">
      <c r="A37" s="19" t="s">
        <v>91</v>
      </c>
    </row>
    <row r="39" spans="1:1" x14ac:dyDescent="0.3">
      <c r="A39" s="3" t="s">
        <v>95</v>
      </c>
    </row>
    <row r="40" spans="1:1" x14ac:dyDescent="0.3">
      <c r="A40" s="3" t="s">
        <v>104</v>
      </c>
    </row>
    <row r="41" spans="1:1" x14ac:dyDescent="0.3">
      <c r="A41" s="3" t="s">
        <v>90</v>
      </c>
    </row>
  </sheetData>
  <sheetProtection algorithmName="SHA-512" hashValue="TpGIdtORsikecRyTU3O9VcQU0lrbH8Hyw1DnOTME4i4P+FodUHKgwYbErjL2bM2MimWMJZUeGto3ZzocbK5W+g==" saltValue="ojNv/7NDuhxalWE1SlGlRQ==" spinCount="100000" sheet="1" objects="1" scenarios="1"/>
  <printOptions horizontalCentered="1"/>
  <pageMargins left="0.23622047244094491" right="0.23622047244094491" top="0.74803149606299213" bottom="0.74803149606299213" header="0.31496062992125984" footer="0.31496062992125984"/>
  <pageSetup paperSize="9" scale="73" fitToWidth="0" orientation="landscape" r:id="rId1"/>
  <headerFooter>
    <oddHeader>&amp;R&amp;G</oddHeader>
    <oddFooter>&amp;L&amp;"Segoe UI Light,Normal"&amp;10© 2021. Michel de Rougemont, Kaiseraugst&amp;R6 novembre 2021</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investment</vt:lpstr>
      <vt:lpstr>transition suisse</vt:lpstr>
      <vt:lpstr>cap</vt:lpstr>
      <vt:lpstr>currency</vt:lpstr>
      <vt:lpstr>xrate</vt:lpstr>
      <vt:lpstr>investment!Zone_d_impression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de Rougemont</dc:creator>
  <cp:lastModifiedBy>Michel de Rougemont</cp:lastModifiedBy>
  <cp:lastPrinted>2021-11-11T16:19:20Z</cp:lastPrinted>
  <dcterms:created xsi:type="dcterms:W3CDTF">2021-11-03T11:30:06Z</dcterms:created>
  <dcterms:modified xsi:type="dcterms:W3CDTF">2021-11-16T18:22:35Z</dcterms:modified>
</cp:coreProperties>
</file>